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" yWindow="420" windowWidth="19440" windowHeight="12060" tabRatio="1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Лист1!$B$2:$O$856</definedName>
  </definedNames>
  <calcPr calcId="145621"/>
</workbook>
</file>

<file path=xl/calcChain.xml><?xml version="1.0" encoding="utf-8"?>
<calcChain xmlns="http://schemas.openxmlformats.org/spreadsheetml/2006/main">
  <c r="D808" i="1" l="1"/>
  <c r="D807" i="1"/>
  <c r="D806" i="1"/>
  <c r="D805" i="1"/>
  <c r="D842" i="1"/>
  <c r="D841" i="1"/>
  <c r="D840" i="1"/>
  <c r="D839" i="1"/>
  <c r="D838" i="1"/>
  <c r="D837" i="1"/>
  <c r="D835" i="1"/>
  <c r="D834" i="1"/>
  <c r="D833" i="1"/>
  <c r="D832" i="1"/>
  <c r="D830" i="1"/>
  <c r="D829" i="1"/>
  <c r="D828" i="1"/>
  <c r="D827" i="1"/>
  <c r="D825" i="1"/>
  <c r="D824" i="1"/>
  <c r="D823" i="1"/>
  <c r="D822" i="1"/>
  <c r="D321" i="1" l="1"/>
  <c r="D232" i="1"/>
  <c r="D788" i="1" l="1"/>
  <c r="D787" i="1"/>
  <c r="D786" i="1"/>
  <c r="D785" i="1"/>
  <c r="D778" i="1"/>
  <c r="D777" i="1"/>
  <c r="D776" i="1"/>
  <c r="D775" i="1"/>
  <c r="D793" i="1"/>
  <c r="D792" i="1"/>
  <c r="D791" i="1"/>
  <c r="D790" i="1"/>
  <c r="D809" i="1" l="1"/>
  <c r="D819" i="1"/>
  <c r="D818" i="1"/>
  <c r="D817" i="1"/>
  <c r="D816" i="1"/>
  <c r="D814" i="1"/>
  <c r="D813" i="1"/>
  <c r="D812" i="1"/>
  <c r="D811" i="1"/>
  <c r="D798" i="1"/>
  <c r="D797" i="1"/>
  <c r="D796" i="1"/>
  <c r="D795" i="1"/>
  <c r="D347" i="1" l="1"/>
  <c r="D346" i="1"/>
  <c r="D523" i="1"/>
  <c r="D506" i="1"/>
  <c r="D521" i="1"/>
  <c r="D520" i="1"/>
  <c r="D519" i="1"/>
  <c r="D518" i="1"/>
  <c r="D517" i="1"/>
  <c r="M516" i="1"/>
  <c r="L516" i="1"/>
  <c r="K516" i="1"/>
  <c r="J516" i="1"/>
  <c r="I516" i="1"/>
  <c r="H516" i="1"/>
  <c r="G516" i="1"/>
  <c r="F516" i="1"/>
  <c r="E516" i="1"/>
  <c r="D515" i="1"/>
  <c r="D514" i="1"/>
  <c r="D513" i="1"/>
  <c r="M512" i="1"/>
  <c r="L512" i="1"/>
  <c r="K512" i="1"/>
  <c r="J512" i="1"/>
  <c r="I512" i="1"/>
  <c r="H512" i="1"/>
  <c r="G512" i="1"/>
  <c r="F512" i="1"/>
  <c r="E512" i="1"/>
  <c r="D511" i="1"/>
  <c r="D510" i="1"/>
  <c r="D509" i="1"/>
  <c r="M508" i="1"/>
  <c r="M507" i="1" s="1"/>
  <c r="L508" i="1"/>
  <c r="L507" i="1" s="1"/>
  <c r="K508" i="1"/>
  <c r="K507" i="1" s="1"/>
  <c r="J508" i="1"/>
  <c r="J507" i="1" s="1"/>
  <c r="I508" i="1"/>
  <c r="H508" i="1"/>
  <c r="H507" i="1" s="1"/>
  <c r="G508" i="1"/>
  <c r="G507" i="1" s="1"/>
  <c r="F508" i="1"/>
  <c r="F507" i="1" s="1"/>
  <c r="E508" i="1"/>
  <c r="E507" i="1" s="1"/>
  <c r="I507" i="1" l="1"/>
  <c r="D516" i="1"/>
  <c r="D512" i="1"/>
  <c r="D508" i="1"/>
  <c r="M319" i="1"/>
  <c r="L319" i="1"/>
  <c r="K319" i="1"/>
  <c r="J319" i="1"/>
  <c r="I319" i="1"/>
  <c r="H319" i="1"/>
  <c r="F319" i="1"/>
  <c r="E319" i="1"/>
  <c r="D35" i="1" l="1"/>
  <c r="D34" i="1"/>
  <c r="D803" i="1"/>
  <c r="D802" i="1"/>
  <c r="D801" i="1"/>
  <c r="D800" i="1"/>
  <c r="D783" i="1"/>
  <c r="D782" i="1"/>
  <c r="D781" i="1"/>
  <c r="D780" i="1"/>
  <c r="D773" i="1"/>
  <c r="D772" i="1"/>
  <c r="D771" i="1"/>
  <c r="D770" i="1"/>
  <c r="D768" i="1"/>
  <c r="D767" i="1"/>
  <c r="D766" i="1"/>
  <c r="D765" i="1"/>
  <c r="D761" i="1"/>
  <c r="D760" i="1"/>
  <c r="M666" i="1"/>
  <c r="L666" i="1"/>
  <c r="K666" i="1"/>
  <c r="J666" i="1"/>
  <c r="I666" i="1"/>
  <c r="H666" i="1"/>
  <c r="G666" i="1"/>
  <c r="F666" i="1"/>
  <c r="E666" i="1"/>
  <c r="D665" i="1"/>
  <c r="D664" i="1"/>
  <c r="D663" i="1"/>
  <c r="D662" i="1"/>
  <c r="D661" i="1"/>
  <c r="D660" i="1"/>
  <c r="D659" i="1"/>
  <c r="D658" i="1"/>
  <c r="D657" i="1"/>
  <c r="M656" i="1"/>
  <c r="L656" i="1"/>
  <c r="K656" i="1"/>
  <c r="J656" i="1"/>
  <c r="I656" i="1"/>
  <c r="H656" i="1"/>
  <c r="G656" i="1"/>
  <c r="F656" i="1"/>
  <c r="E656" i="1"/>
  <c r="D655" i="1"/>
  <c r="D654" i="1"/>
  <c r="D653" i="1"/>
  <c r="D652" i="1"/>
  <c r="D651" i="1"/>
  <c r="D650" i="1"/>
  <c r="D649" i="1"/>
  <c r="D648" i="1"/>
  <c r="D647" i="1"/>
  <c r="M646" i="1"/>
  <c r="L646" i="1"/>
  <c r="K646" i="1"/>
  <c r="J646" i="1"/>
  <c r="I646" i="1"/>
  <c r="H646" i="1"/>
  <c r="G646" i="1"/>
  <c r="F646" i="1"/>
  <c r="E646" i="1"/>
  <c r="D645" i="1"/>
  <c r="D644" i="1"/>
  <c r="D643" i="1"/>
  <c r="D642" i="1"/>
  <c r="D641" i="1"/>
  <c r="D640" i="1"/>
  <c r="D639" i="1"/>
  <c r="D638" i="1"/>
  <c r="D637" i="1"/>
  <c r="K636" i="1"/>
  <c r="J636" i="1"/>
  <c r="G636" i="1"/>
  <c r="F636" i="1"/>
  <c r="D635" i="1"/>
  <c r="D634" i="1"/>
  <c r="D633" i="1"/>
  <c r="D632" i="1"/>
  <c r="D631" i="1"/>
  <c r="D630" i="1"/>
  <c r="D629" i="1"/>
  <c r="D628" i="1"/>
  <c r="M636" i="1"/>
  <c r="L636" i="1"/>
  <c r="I636" i="1"/>
  <c r="H636" i="1"/>
  <c r="E636" i="1"/>
  <c r="M595" i="1"/>
  <c r="L595" i="1"/>
  <c r="K595" i="1"/>
  <c r="J595" i="1"/>
  <c r="I595" i="1"/>
  <c r="H595" i="1"/>
  <c r="G595" i="1"/>
  <c r="F595" i="1"/>
  <c r="E595" i="1"/>
  <c r="D594" i="1"/>
  <c r="D593" i="1"/>
  <c r="D592" i="1"/>
  <c r="D591" i="1"/>
  <c r="D590" i="1"/>
  <c r="D589" i="1"/>
  <c r="D588" i="1"/>
  <c r="D587" i="1"/>
  <c r="M585" i="1"/>
  <c r="L585" i="1"/>
  <c r="K585" i="1"/>
  <c r="J585" i="1"/>
  <c r="I585" i="1"/>
  <c r="H585" i="1"/>
  <c r="G585" i="1"/>
  <c r="F585" i="1"/>
  <c r="E585" i="1"/>
  <c r="D584" i="1"/>
  <c r="D583" i="1"/>
  <c r="D582" i="1"/>
  <c r="D581" i="1"/>
  <c r="D580" i="1"/>
  <c r="D579" i="1"/>
  <c r="D578" i="1"/>
  <c r="D577" i="1"/>
  <c r="M575" i="1"/>
  <c r="L575" i="1"/>
  <c r="K575" i="1"/>
  <c r="J575" i="1"/>
  <c r="I575" i="1"/>
  <c r="H575" i="1"/>
  <c r="G575" i="1"/>
  <c r="F575" i="1"/>
  <c r="E575" i="1"/>
  <c r="D574" i="1"/>
  <c r="D573" i="1"/>
  <c r="D572" i="1"/>
  <c r="D571" i="1"/>
  <c r="D570" i="1"/>
  <c r="D569" i="1"/>
  <c r="D568" i="1"/>
  <c r="D567" i="1"/>
  <c r="D620" i="1"/>
  <c r="D619" i="1"/>
  <c r="D610" i="1"/>
  <c r="D609" i="1"/>
  <c r="D600" i="1"/>
  <c r="D599" i="1"/>
  <c r="M539" i="1"/>
  <c r="L539" i="1"/>
  <c r="K539" i="1"/>
  <c r="J539" i="1"/>
  <c r="I539" i="1"/>
  <c r="H539" i="1"/>
  <c r="G539" i="1"/>
  <c r="F539" i="1"/>
  <c r="M533" i="1"/>
  <c r="L533" i="1"/>
  <c r="K533" i="1"/>
  <c r="J533" i="1"/>
  <c r="I533" i="1"/>
  <c r="H533" i="1"/>
  <c r="G533" i="1"/>
  <c r="F533" i="1"/>
  <c r="M529" i="1"/>
  <c r="L529" i="1"/>
  <c r="K529" i="1"/>
  <c r="J529" i="1"/>
  <c r="I529" i="1"/>
  <c r="H529" i="1"/>
  <c r="G529" i="1"/>
  <c r="F529" i="1"/>
  <c r="M525" i="1"/>
  <c r="M524" i="1" s="1"/>
  <c r="L525" i="1"/>
  <c r="L524" i="1" s="1"/>
  <c r="K525" i="1"/>
  <c r="K524" i="1" s="1"/>
  <c r="J525" i="1"/>
  <c r="J524" i="1" s="1"/>
  <c r="I525" i="1"/>
  <c r="I524" i="1" s="1"/>
  <c r="H525" i="1"/>
  <c r="H524" i="1" s="1"/>
  <c r="G525" i="1"/>
  <c r="G524" i="1" s="1"/>
  <c r="F525" i="1"/>
  <c r="F524" i="1" s="1"/>
  <c r="E533" i="1"/>
  <c r="E539" i="1"/>
  <c r="E529" i="1"/>
  <c r="E525" i="1"/>
  <c r="D544" i="1"/>
  <c r="D543" i="1"/>
  <c r="D542" i="1"/>
  <c r="D541" i="1"/>
  <c r="D540" i="1"/>
  <c r="D532" i="1"/>
  <c r="D531" i="1"/>
  <c r="D530" i="1"/>
  <c r="D528" i="1"/>
  <c r="D527" i="1"/>
  <c r="D526" i="1"/>
  <c r="D538" i="1"/>
  <c r="D537" i="1"/>
  <c r="D536" i="1"/>
  <c r="D535" i="1"/>
  <c r="D534" i="1"/>
  <c r="M550" i="1"/>
  <c r="L550" i="1"/>
  <c r="K550" i="1"/>
  <c r="J550" i="1"/>
  <c r="I550" i="1"/>
  <c r="H550" i="1"/>
  <c r="G550" i="1"/>
  <c r="F550" i="1"/>
  <c r="E550" i="1"/>
  <c r="D555" i="1"/>
  <c r="D554" i="1"/>
  <c r="D553" i="1"/>
  <c r="D552" i="1"/>
  <c r="D551" i="1"/>
  <c r="M230" i="1"/>
  <c r="L230" i="1"/>
  <c r="K230" i="1"/>
  <c r="J230" i="1"/>
  <c r="I230" i="1"/>
  <c r="H230" i="1"/>
  <c r="G230" i="1"/>
  <c r="F230" i="1"/>
  <c r="E230" i="1"/>
  <c r="E524" i="1" l="1"/>
  <c r="D656" i="1"/>
  <c r="D585" i="1"/>
  <c r="D646" i="1"/>
  <c r="D595" i="1"/>
  <c r="D666" i="1"/>
  <c r="D575" i="1"/>
  <c r="D636" i="1"/>
  <c r="D627" i="1"/>
  <c r="D539" i="1"/>
  <c r="D685" i="1"/>
  <c r="D679" i="1"/>
  <c r="D550" i="1" l="1"/>
  <c r="M626" i="1"/>
  <c r="L626" i="1"/>
  <c r="K626" i="1"/>
  <c r="J626" i="1"/>
  <c r="I626" i="1"/>
  <c r="H626" i="1"/>
  <c r="G626" i="1"/>
  <c r="F626" i="1"/>
  <c r="E626" i="1"/>
  <c r="M616" i="1"/>
  <c r="L616" i="1"/>
  <c r="K616" i="1"/>
  <c r="J616" i="1"/>
  <c r="I616" i="1"/>
  <c r="H616" i="1"/>
  <c r="G616" i="1"/>
  <c r="F616" i="1"/>
  <c r="E616" i="1"/>
  <c r="D616" i="1" l="1"/>
  <c r="D626" i="1"/>
  <c r="D233" i="1"/>
  <c r="D625" i="1"/>
  <c r="D624" i="1"/>
  <c r="D623" i="1"/>
  <c r="D622" i="1"/>
  <c r="D621" i="1"/>
  <c r="D618" i="1"/>
  <c r="D763" i="1"/>
  <c r="D762" i="1"/>
  <c r="D601" i="1"/>
  <c r="D615" i="1"/>
  <c r="D611" i="1"/>
  <c r="D605" i="1"/>
  <c r="D614" i="1"/>
  <c r="D613" i="1"/>
  <c r="D612" i="1"/>
  <c r="D608" i="1"/>
  <c r="D604" i="1"/>
  <c r="D603" i="1"/>
  <c r="D602" i="1"/>
  <c r="D598" i="1"/>
  <c r="D756" i="1" l="1"/>
  <c r="D755" i="1"/>
  <c r="D754" i="1"/>
  <c r="D752" i="1"/>
  <c r="D751" i="1"/>
  <c r="D750" i="1"/>
  <c r="D748" i="1"/>
  <c r="D747" i="1"/>
  <c r="D746" i="1"/>
  <c r="D743" i="1"/>
  <c r="D742" i="1"/>
  <c r="D741" i="1"/>
  <c r="D740" i="1"/>
  <c r="D739" i="1"/>
  <c r="D737" i="1"/>
  <c r="D736" i="1"/>
  <c r="D735" i="1"/>
  <c r="D733" i="1"/>
  <c r="D732" i="1"/>
  <c r="D731" i="1"/>
  <c r="D729" i="1"/>
  <c r="D728" i="1"/>
  <c r="D727" i="1"/>
  <c r="D726" i="1"/>
  <c r="D724" i="1"/>
  <c r="D723" i="1"/>
  <c r="D722" i="1"/>
  <c r="D720" i="1"/>
  <c r="D718" i="1"/>
  <c r="D717" i="1"/>
  <c r="D716" i="1"/>
  <c r="D714" i="1"/>
  <c r="D713" i="1"/>
  <c r="D712" i="1"/>
  <c r="D711" i="1"/>
  <c r="D710" i="1"/>
  <c r="D709" i="1"/>
  <c r="D708" i="1"/>
  <c r="D706" i="1"/>
  <c r="M705" i="1"/>
  <c r="L705" i="1"/>
  <c r="K705" i="1"/>
  <c r="J705" i="1"/>
  <c r="I705" i="1"/>
  <c r="H705" i="1"/>
  <c r="F705" i="1"/>
  <c r="E705" i="1"/>
  <c r="G704" i="1"/>
  <c r="F704" i="1"/>
  <c r="G703" i="1"/>
  <c r="F703" i="1"/>
  <c r="D701" i="1"/>
  <c r="D700" i="1"/>
  <c r="D699" i="1"/>
  <c r="D698" i="1"/>
  <c r="M697" i="1"/>
  <c r="L697" i="1"/>
  <c r="K697" i="1"/>
  <c r="J697" i="1"/>
  <c r="I697" i="1"/>
  <c r="H697" i="1"/>
  <c r="G697" i="1"/>
  <c r="F697" i="1"/>
  <c r="E697" i="1"/>
  <c r="D696" i="1"/>
  <c r="D695" i="1"/>
  <c r="D694" i="1"/>
  <c r="D692" i="1"/>
  <c r="D691" i="1"/>
  <c r="D690" i="1"/>
  <c r="D689" i="1"/>
  <c r="D688" i="1"/>
  <c r="M687" i="1"/>
  <c r="L687" i="1"/>
  <c r="K687" i="1"/>
  <c r="J687" i="1"/>
  <c r="I687" i="1"/>
  <c r="H687" i="1"/>
  <c r="G687" i="1"/>
  <c r="F687" i="1"/>
  <c r="E687" i="1"/>
  <c r="D684" i="1"/>
  <c r="D683" i="1"/>
  <c r="D682" i="1"/>
  <c r="D681" i="1"/>
  <c r="D678" i="1"/>
  <c r="D677" i="1"/>
  <c r="M676" i="1"/>
  <c r="L676" i="1"/>
  <c r="K676" i="1"/>
  <c r="J676" i="1"/>
  <c r="I676" i="1"/>
  <c r="H676" i="1"/>
  <c r="G676" i="1"/>
  <c r="F676" i="1"/>
  <c r="E676" i="1"/>
  <c r="D675" i="1"/>
  <c r="D674" i="1"/>
  <c r="D673" i="1"/>
  <c r="D672" i="1"/>
  <c r="D617" i="1"/>
  <c r="D607" i="1"/>
  <c r="D596" i="1"/>
  <c r="D576" i="1"/>
  <c r="D566" i="1"/>
  <c r="D563" i="1"/>
  <c r="D562" i="1"/>
  <c r="D560" i="1"/>
  <c r="D559" i="1"/>
  <c r="D558" i="1"/>
  <c r="D549" i="1"/>
  <c r="D548" i="1"/>
  <c r="D546" i="1"/>
  <c r="D545" i="1"/>
  <c r="D533" i="1"/>
  <c r="D529" i="1"/>
  <c r="D525" i="1"/>
  <c r="D524" i="1"/>
  <c r="N539" i="1" s="1"/>
  <c r="D522" i="1"/>
  <c r="D507" i="1"/>
  <c r="D504" i="1"/>
  <c r="D503" i="1"/>
  <c r="D501" i="1"/>
  <c r="D500" i="1"/>
  <c r="D499" i="1"/>
  <c r="M498" i="1"/>
  <c r="L498" i="1"/>
  <c r="K498" i="1"/>
  <c r="J498" i="1"/>
  <c r="I498" i="1"/>
  <c r="H498" i="1"/>
  <c r="G498" i="1"/>
  <c r="F498" i="1"/>
  <c r="E498" i="1"/>
  <c r="D497" i="1"/>
  <c r="D496" i="1"/>
  <c r="D495" i="1"/>
  <c r="D494" i="1"/>
  <c r="D493" i="1"/>
  <c r="D492" i="1"/>
  <c r="D491" i="1"/>
  <c r="M490" i="1"/>
  <c r="L490" i="1"/>
  <c r="K490" i="1"/>
  <c r="J490" i="1"/>
  <c r="I490" i="1"/>
  <c r="H490" i="1"/>
  <c r="G490" i="1"/>
  <c r="F490" i="1"/>
  <c r="E490" i="1"/>
  <c r="D489" i="1"/>
  <c r="D488" i="1"/>
  <c r="D487" i="1"/>
  <c r="D486" i="1"/>
  <c r="D485" i="1"/>
  <c r="D484" i="1"/>
  <c r="D483" i="1"/>
  <c r="D482" i="1"/>
  <c r="D481" i="1"/>
  <c r="F479" i="1"/>
  <c r="M479" i="1"/>
  <c r="L479" i="1"/>
  <c r="K479" i="1"/>
  <c r="J479" i="1"/>
  <c r="I479" i="1"/>
  <c r="H479" i="1"/>
  <c r="G479" i="1"/>
  <c r="D478" i="1"/>
  <c r="D477" i="1"/>
  <c r="D476" i="1"/>
  <c r="D475" i="1"/>
  <c r="D474" i="1"/>
  <c r="D473" i="1"/>
  <c r="M472" i="1"/>
  <c r="L472" i="1"/>
  <c r="K472" i="1"/>
  <c r="J472" i="1"/>
  <c r="I472" i="1"/>
  <c r="H472" i="1"/>
  <c r="G472" i="1"/>
  <c r="F472" i="1"/>
  <c r="E472" i="1"/>
  <c r="D470" i="1"/>
  <c r="D469" i="1"/>
  <c r="D468" i="1"/>
  <c r="D467" i="1"/>
  <c r="H465" i="1"/>
  <c r="G465" i="1"/>
  <c r="M465" i="1"/>
  <c r="L465" i="1"/>
  <c r="K465" i="1"/>
  <c r="J465" i="1"/>
  <c r="I465" i="1"/>
  <c r="F465" i="1"/>
  <c r="E465" i="1"/>
  <c r="D464" i="1"/>
  <c r="J462" i="1"/>
  <c r="F462" i="1"/>
  <c r="M462" i="1"/>
  <c r="L462" i="1"/>
  <c r="K462" i="1"/>
  <c r="I462" i="1"/>
  <c r="H462" i="1"/>
  <c r="G462" i="1"/>
  <c r="D460" i="1"/>
  <c r="D459" i="1"/>
  <c r="D458" i="1"/>
  <c r="D457" i="1"/>
  <c r="D456" i="1"/>
  <c r="M455" i="1"/>
  <c r="L455" i="1"/>
  <c r="K455" i="1"/>
  <c r="J455" i="1"/>
  <c r="I455" i="1"/>
  <c r="H455" i="1"/>
  <c r="G455" i="1"/>
  <c r="F455" i="1"/>
  <c r="E455" i="1"/>
  <c r="D454" i="1"/>
  <c r="D453" i="1"/>
  <c r="M452" i="1"/>
  <c r="L452" i="1"/>
  <c r="K452" i="1"/>
  <c r="J452" i="1"/>
  <c r="I452" i="1"/>
  <c r="H452" i="1"/>
  <c r="G452" i="1"/>
  <c r="F452" i="1"/>
  <c r="E452" i="1"/>
  <c r="M451" i="1"/>
  <c r="L451" i="1"/>
  <c r="K451" i="1"/>
  <c r="J451" i="1"/>
  <c r="I451" i="1"/>
  <c r="H451" i="1"/>
  <c r="G451" i="1"/>
  <c r="F451" i="1"/>
  <c r="E451" i="1"/>
  <c r="D445" i="1"/>
  <c r="D442" i="1"/>
  <c r="D440" i="1"/>
  <c r="D439" i="1"/>
  <c r="D438" i="1"/>
  <c r="D437" i="1"/>
  <c r="D436" i="1"/>
  <c r="M435" i="1"/>
  <c r="L435" i="1"/>
  <c r="K435" i="1"/>
  <c r="J435" i="1"/>
  <c r="I435" i="1"/>
  <c r="H435" i="1"/>
  <c r="G435" i="1"/>
  <c r="F435" i="1"/>
  <c r="E435" i="1"/>
  <c r="D434" i="1"/>
  <c r="D433" i="1"/>
  <c r="M432" i="1"/>
  <c r="L432" i="1"/>
  <c r="K432" i="1"/>
  <c r="J432" i="1"/>
  <c r="I432" i="1"/>
  <c r="H432" i="1"/>
  <c r="G432" i="1"/>
  <c r="F432" i="1"/>
  <c r="E432" i="1"/>
  <c r="D430" i="1"/>
  <c r="D429" i="1"/>
  <c r="D428" i="1"/>
  <c r="D427" i="1"/>
  <c r="D426" i="1"/>
  <c r="K425" i="1"/>
  <c r="E425" i="1"/>
  <c r="D424" i="1"/>
  <c r="D423" i="1"/>
  <c r="K422" i="1"/>
  <c r="E422" i="1"/>
  <c r="D420" i="1"/>
  <c r="D419" i="1"/>
  <c r="D418" i="1"/>
  <c r="D417" i="1"/>
  <c r="I415" i="1"/>
  <c r="E415" i="1"/>
  <c r="M415" i="1"/>
  <c r="L415" i="1"/>
  <c r="K415" i="1"/>
  <c r="J415" i="1"/>
  <c r="G415" i="1"/>
  <c r="F415" i="1"/>
  <c r="D414" i="1"/>
  <c r="D413" i="1"/>
  <c r="M412" i="1"/>
  <c r="L412" i="1"/>
  <c r="K412" i="1"/>
  <c r="I412" i="1"/>
  <c r="H412" i="1"/>
  <c r="G412" i="1"/>
  <c r="F412" i="1"/>
  <c r="E412" i="1"/>
  <c r="M411" i="1"/>
  <c r="L411" i="1"/>
  <c r="K411" i="1"/>
  <c r="I411" i="1"/>
  <c r="H411" i="1"/>
  <c r="G411" i="1"/>
  <c r="F411" i="1"/>
  <c r="E411" i="1"/>
  <c r="D409" i="1"/>
  <c r="D408" i="1"/>
  <c r="D407" i="1"/>
  <c r="D406" i="1"/>
  <c r="D403" i="1"/>
  <c r="D402" i="1"/>
  <c r="D401" i="1"/>
  <c r="D400" i="1"/>
  <c r="D399" i="1"/>
  <c r="D396" i="1"/>
  <c r="I392" i="1"/>
  <c r="I461" i="1" s="1"/>
  <c r="D395" i="1"/>
  <c r="H392" i="1"/>
  <c r="H461" i="1" s="1"/>
  <c r="D394" i="1"/>
  <c r="J392" i="1"/>
  <c r="J461" i="1" s="1"/>
  <c r="G461" i="1"/>
  <c r="F392" i="1"/>
  <c r="F461" i="1" s="1"/>
  <c r="M392" i="1"/>
  <c r="M461" i="1" s="1"/>
  <c r="L392" i="1"/>
  <c r="L461" i="1" s="1"/>
  <c r="K392" i="1"/>
  <c r="K461" i="1" s="1"/>
  <c r="E392" i="1"/>
  <c r="E461" i="1" s="1"/>
  <c r="D391" i="1"/>
  <c r="I386" i="1"/>
  <c r="H386" i="1"/>
  <c r="D389" i="1"/>
  <c r="J386" i="1"/>
  <c r="D387" i="1"/>
  <c r="M386" i="1"/>
  <c r="L386" i="1"/>
  <c r="K386" i="1"/>
  <c r="E386" i="1"/>
  <c r="D384" i="1"/>
  <c r="D383" i="1"/>
  <c r="D382" i="1"/>
  <c r="D381" i="1"/>
  <c r="D380" i="1"/>
  <c r="J376" i="1"/>
  <c r="J597" i="1" s="1"/>
  <c r="J606" i="1" s="1"/>
  <c r="D379" i="1"/>
  <c r="D378" i="1"/>
  <c r="D377" i="1"/>
  <c r="M376" i="1"/>
  <c r="M597" i="1" s="1"/>
  <c r="M606" i="1" s="1"/>
  <c r="L376" i="1"/>
  <c r="L597" i="1" s="1"/>
  <c r="L606" i="1" s="1"/>
  <c r="K376" i="1"/>
  <c r="K597" i="1" s="1"/>
  <c r="K606" i="1" s="1"/>
  <c r="I376" i="1"/>
  <c r="H376" i="1"/>
  <c r="G376" i="1"/>
  <c r="G597" i="1" s="1"/>
  <c r="G606" i="1" s="1"/>
  <c r="F376" i="1"/>
  <c r="F597" i="1" s="1"/>
  <c r="F606" i="1" s="1"/>
  <c r="E376" i="1"/>
  <c r="D375" i="1"/>
  <c r="D374" i="1"/>
  <c r="D373" i="1"/>
  <c r="D372" i="1"/>
  <c r="D371" i="1"/>
  <c r="D370" i="1"/>
  <c r="M369" i="1"/>
  <c r="L369" i="1"/>
  <c r="K369" i="1"/>
  <c r="J369" i="1"/>
  <c r="I369" i="1"/>
  <c r="H369" i="1"/>
  <c r="G369" i="1"/>
  <c r="F369" i="1"/>
  <c r="E369" i="1"/>
  <c r="D367" i="1"/>
  <c r="D366" i="1"/>
  <c r="D365" i="1"/>
  <c r="D364" i="1"/>
  <c r="D362" i="1"/>
  <c r="D361" i="1"/>
  <c r="D360" i="1"/>
  <c r="D359" i="1"/>
  <c r="L357" i="1"/>
  <c r="K357" i="1"/>
  <c r="J357" i="1"/>
  <c r="I357" i="1"/>
  <c r="H357" i="1"/>
  <c r="E357" i="1"/>
  <c r="D354" i="1"/>
  <c r="D353" i="1"/>
  <c r="M352" i="1"/>
  <c r="G352" i="1"/>
  <c r="F352" i="1"/>
  <c r="D351" i="1"/>
  <c r="D350" i="1"/>
  <c r="M349" i="1"/>
  <c r="M357" i="1" s="1"/>
  <c r="G349" i="1"/>
  <c r="G357" i="1" s="1"/>
  <c r="F349" i="1"/>
  <c r="F357" i="1" s="1"/>
  <c r="D345" i="1"/>
  <c r="D344" i="1"/>
  <c r="E342" i="1"/>
  <c r="D343" i="1"/>
  <c r="M342" i="1"/>
  <c r="L342" i="1"/>
  <c r="K342" i="1"/>
  <c r="J342" i="1"/>
  <c r="I342" i="1"/>
  <c r="H342" i="1"/>
  <c r="G342" i="1"/>
  <c r="F342" i="1"/>
  <c r="D341" i="1"/>
  <c r="D336" i="1"/>
  <c r="D441" i="1" s="1"/>
  <c r="D335" i="1"/>
  <c r="D334" i="1"/>
  <c r="D333" i="1"/>
  <c r="D331" i="1"/>
  <c r="D330" i="1"/>
  <c r="M329" i="1"/>
  <c r="L329" i="1"/>
  <c r="K329" i="1"/>
  <c r="J329" i="1"/>
  <c r="I329" i="1"/>
  <c r="H329" i="1"/>
  <c r="G329" i="1"/>
  <c r="F329" i="1"/>
  <c r="E329" i="1"/>
  <c r="D328" i="1"/>
  <c r="D327" i="1"/>
  <c r="D326" i="1"/>
  <c r="D325" i="1"/>
  <c r="D324" i="1"/>
  <c r="M323" i="1"/>
  <c r="L323" i="1"/>
  <c r="K323" i="1"/>
  <c r="J323" i="1"/>
  <c r="I323" i="1"/>
  <c r="H323" i="1"/>
  <c r="G323" i="1"/>
  <c r="F323" i="1"/>
  <c r="E323" i="1"/>
  <c r="D322" i="1"/>
  <c r="D320" i="1"/>
  <c r="D318" i="1"/>
  <c r="D317" i="1"/>
  <c r="D316" i="1"/>
  <c r="D315" i="1"/>
  <c r="D314" i="1"/>
  <c r="D313" i="1"/>
  <c r="D312" i="1"/>
  <c r="D311" i="1"/>
  <c r="D310" i="1"/>
  <c r="M309" i="1"/>
  <c r="M431" i="1" s="1"/>
  <c r="L309" i="1"/>
  <c r="L358" i="1" s="1"/>
  <c r="K309" i="1"/>
  <c r="K358" i="1" s="1"/>
  <c r="J309" i="1"/>
  <c r="I309" i="1"/>
  <c r="I431" i="1" s="1"/>
  <c r="H309" i="1"/>
  <c r="H358" i="1" s="1"/>
  <c r="G309" i="1"/>
  <c r="G358" i="1" s="1"/>
  <c r="F309" i="1"/>
  <c r="E309" i="1"/>
  <c r="E431" i="1" s="1"/>
  <c r="D308" i="1"/>
  <c r="D307" i="1"/>
  <c r="D306" i="1"/>
  <c r="D305" i="1"/>
  <c r="D304" i="1"/>
  <c r="D303" i="1"/>
  <c r="D302" i="1"/>
  <c r="D301" i="1"/>
  <c r="D300" i="1"/>
  <c r="M299" i="1"/>
  <c r="M356" i="1" s="1"/>
  <c r="L299" i="1"/>
  <c r="L356" i="1" s="1"/>
  <c r="K299" i="1"/>
  <c r="K356" i="1" s="1"/>
  <c r="J299" i="1"/>
  <c r="J356" i="1" s="1"/>
  <c r="I299" i="1"/>
  <c r="I356" i="1" s="1"/>
  <c r="H299" i="1"/>
  <c r="H356" i="1" s="1"/>
  <c r="G299" i="1"/>
  <c r="G356" i="1" s="1"/>
  <c r="F299" i="1"/>
  <c r="F356" i="1" s="1"/>
  <c r="E299" i="1"/>
  <c r="D298" i="1"/>
  <c r="D297" i="1"/>
  <c r="D296" i="1"/>
  <c r="D295" i="1"/>
  <c r="D294" i="1"/>
  <c r="M293" i="1"/>
  <c r="L293" i="1"/>
  <c r="K293" i="1"/>
  <c r="J293" i="1"/>
  <c r="I293" i="1"/>
  <c r="H293" i="1"/>
  <c r="G293" i="1"/>
  <c r="F293" i="1"/>
  <c r="E293" i="1"/>
  <c r="D292" i="1"/>
  <c r="D291" i="1"/>
  <c r="D290" i="1"/>
  <c r="D289" i="1"/>
  <c r="M288" i="1"/>
  <c r="L288" i="1"/>
  <c r="K288" i="1"/>
  <c r="J288" i="1"/>
  <c r="I288" i="1"/>
  <c r="H288" i="1"/>
  <c r="G288" i="1"/>
  <c r="F288" i="1"/>
  <c r="E288" i="1"/>
  <c r="D286" i="1"/>
  <c r="D285" i="1"/>
  <c r="D283" i="1"/>
  <c r="M284" i="1"/>
  <c r="L284" i="1"/>
  <c r="I284" i="1"/>
  <c r="H284" i="1"/>
  <c r="G284" i="1"/>
  <c r="F284" i="1"/>
  <c r="D277" i="1"/>
  <c r="D276" i="1"/>
  <c r="D275" i="1"/>
  <c r="K274" i="1"/>
  <c r="E274" i="1"/>
  <c r="D273" i="1"/>
  <c r="D272" i="1"/>
  <c r="D271" i="1"/>
  <c r="K270" i="1"/>
  <c r="K284" i="1" s="1"/>
  <c r="E270" i="1"/>
  <c r="D269" i="1"/>
  <c r="J267" i="1"/>
  <c r="I267" i="1"/>
  <c r="E267" i="1"/>
  <c r="M267" i="1"/>
  <c r="L267" i="1"/>
  <c r="K267" i="1"/>
  <c r="H267" i="1"/>
  <c r="G267" i="1"/>
  <c r="F267" i="1"/>
  <c r="D264" i="1"/>
  <c r="D262" i="1"/>
  <c r="D261" i="1"/>
  <c r="D260" i="1"/>
  <c r="D259" i="1"/>
  <c r="D258" i="1"/>
  <c r="D257" i="1"/>
  <c r="M256" i="1"/>
  <c r="L256" i="1"/>
  <c r="K256" i="1"/>
  <c r="J256" i="1"/>
  <c r="I256" i="1"/>
  <c r="H256" i="1"/>
  <c r="G256" i="1"/>
  <c r="F256" i="1"/>
  <c r="E256" i="1"/>
  <c r="D255" i="1"/>
  <c r="D254" i="1"/>
  <c r="D253" i="1"/>
  <c r="M252" i="1"/>
  <c r="L252" i="1"/>
  <c r="K252" i="1"/>
  <c r="J252" i="1"/>
  <c r="I252" i="1"/>
  <c r="H252" i="1"/>
  <c r="G252" i="1"/>
  <c r="F252" i="1"/>
  <c r="E252" i="1"/>
  <c r="D251" i="1"/>
  <c r="D250" i="1"/>
  <c r="D249" i="1"/>
  <c r="D248" i="1"/>
  <c r="D247" i="1"/>
  <c r="D246" i="1"/>
  <c r="M245" i="1"/>
  <c r="L245" i="1"/>
  <c r="K245" i="1"/>
  <c r="J245" i="1"/>
  <c r="I245" i="1"/>
  <c r="H245" i="1"/>
  <c r="G245" i="1"/>
  <c r="F245" i="1"/>
  <c r="E245" i="1"/>
  <c r="D244" i="1"/>
  <c r="D243" i="1"/>
  <c r="D242" i="1"/>
  <c r="D241" i="1"/>
  <c r="D240" i="1"/>
  <c r="D239" i="1"/>
  <c r="M238" i="1"/>
  <c r="L238" i="1"/>
  <c r="K238" i="1"/>
  <c r="J238" i="1"/>
  <c r="I238" i="1"/>
  <c r="H238" i="1"/>
  <c r="G238" i="1"/>
  <c r="F238" i="1"/>
  <c r="E238" i="1"/>
  <c r="D237" i="1"/>
  <c r="D236" i="1"/>
  <c r="D235" i="1"/>
  <c r="K234" i="1"/>
  <c r="E234" i="1"/>
  <c r="D231" i="1"/>
  <c r="D229" i="1"/>
  <c r="D228" i="1"/>
  <c r="K227" i="1"/>
  <c r="E227" i="1"/>
  <c r="D226" i="1"/>
  <c r="D225" i="1"/>
  <c r="D224" i="1"/>
  <c r="M223" i="1"/>
  <c r="L223" i="1"/>
  <c r="K223" i="1"/>
  <c r="J223" i="1"/>
  <c r="I223" i="1"/>
  <c r="H223" i="1"/>
  <c r="G223" i="1"/>
  <c r="F223" i="1"/>
  <c r="E223" i="1"/>
  <c r="D222" i="1"/>
  <c r="M221" i="1"/>
  <c r="L221" i="1"/>
  <c r="K221" i="1"/>
  <c r="J221" i="1"/>
  <c r="I221" i="1"/>
  <c r="H221" i="1"/>
  <c r="G221" i="1"/>
  <c r="F221" i="1"/>
  <c r="E221" i="1"/>
  <c r="D220" i="1"/>
  <c r="D219" i="1"/>
  <c r="D218" i="1"/>
  <c r="K217" i="1"/>
  <c r="E217" i="1"/>
  <c r="D216" i="1"/>
  <c r="D215" i="1"/>
  <c r="D214" i="1"/>
  <c r="D213" i="1"/>
  <c r="K212" i="1"/>
  <c r="E212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4" i="1"/>
  <c r="D193" i="1"/>
  <c r="D192" i="1"/>
  <c r="D191" i="1"/>
  <c r="D190" i="1"/>
  <c r="D189" i="1"/>
  <c r="D188" i="1"/>
  <c r="D187" i="1"/>
  <c r="D186" i="1"/>
  <c r="D185" i="1"/>
  <c r="G184" i="1"/>
  <c r="F184" i="1"/>
  <c r="D183" i="1"/>
  <c r="D182" i="1"/>
  <c r="D181" i="1"/>
  <c r="D180" i="1"/>
  <c r="G179" i="1"/>
  <c r="D179" i="1" s="1"/>
  <c r="D178" i="1"/>
  <c r="D177" i="1"/>
  <c r="M176" i="1"/>
  <c r="L176" i="1"/>
  <c r="K176" i="1"/>
  <c r="J176" i="1"/>
  <c r="I176" i="1"/>
  <c r="H176" i="1"/>
  <c r="G176" i="1"/>
  <c r="F176" i="1"/>
  <c r="E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3" i="1"/>
  <c r="D152" i="1"/>
  <c r="D151" i="1"/>
  <c r="D150" i="1"/>
  <c r="M149" i="1"/>
  <c r="L149" i="1"/>
  <c r="K149" i="1"/>
  <c r="J149" i="1"/>
  <c r="I149" i="1"/>
  <c r="H149" i="1"/>
  <c r="G149" i="1"/>
  <c r="F149" i="1"/>
  <c r="E149" i="1"/>
  <c r="D148" i="1"/>
  <c r="D147" i="1"/>
  <c r="D146" i="1"/>
  <c r="D145" i="1"/>
  <c r="D144" i="1"/>
  <c r="D143" i="1"/>
  <c r="M142" i="1"/>
  <c r="L142" i="1"/>
  <c r="K142" i="1"/>
  <c r="J142" i="1"/>
  <c r="I142" i="1"/>
  <c r="H142" i="1"/>
  <c r="G142" i="1"/>
  <c r="F142" i="1"/>
  <c r="E142" i="1"/>
  <c r="D141" i="1"/>
  <c r="D140" i="1"/>
  <c r="D138" i="1"/>
  <c r="D137" i="1"/>
  <c r="D136" i="1"/>
  <c r="D135" i="1"/>
  <c r="D134" i="1"/>
  <c r="D133" i="1"/>
  <c r="D132" i="1"/>
  <c r="D131" i="1"/>
  <c r="D129" i="1"/>
  <c r="M128" i="1"/>
  <c r="L128" i="1"/>
  <c r="K128" i="1"/>
  <c r="J128" i="1"/>
  <c r="I128" i="1"/>
  <c r="H128" i="1"/>
  <c r="G128" i="1"/>
  <c r="F128" i="1"/>
  <c r="E128" i="1"/>
  <c r="D126" i="1"/>
  <c r="D125" i="1"/>
  <c r="D124" i="1"/>
  <c r="D123" i="1"/>
  <c r="D104" i="1"/>
  <c r="D103" i="1"/>
  <c r="D97" i="1"/>
  <c r="D96" i="1" s="1"/>
  <c r="D91" i="1"/>
  <c r="D90" i="1"/>
  <c r="D89" i="1"/>
  <c r="D88" i="1"/>
  <c r="D87" i="1"/>
  <c r="D86" i="1"/>
  <c r="D85" i="1"/>
  <c r="D84" i="1"/>
  <c r="D82" i="1"/>
  <c r="D81" i="1"/>
  <c r="D79" i="1"/>
  <c r="D73" i="1"/>
  <c r="D72" i="1"/>
  <c r="D71" i="1"/>
  <c r="M70" i="1"/>
  <c r="D70" i="1" s="1"/>
  <c r="D69" i="1"/>
  <c r="D68" i="1"/>
  <c r="E67" i="1"/>
  <c r="D67" i="1" s="1"/>
  <c r="D66" i="1"/>
  <c r="D65" i="1"/>
  <c r="D64" i="1"/>
  <c r="K63" i="1"/>
  <c r="J63" i="1"/>
  <c r="I63" i="1"/>
  <c r="H63" i="1"/>
  <c r="F63" i="1"/>
  <c r="D61" i="1"/>
  <c r="D60" i="1"/>
  <c r="D59" i="1"/>
  <c r="D58" i="1"/>
  <c r="D57" i="1"/>
  <c r="D56" i="1"/>
  <c r="M55" i="1"/>
  <c r="L55" i="1"/>
  <c r="K55" i="1"/>
  <c r="J55" i="1"/>
  <c r="I55" i="1"/>
  <c r="H55" i="1"/>
  <c r="G55" i="1"/>
  <c r="F55" i="1"/>
  <c r="E55" i="1"/>
  <c r="D54" i="1"/>
  <c r="D53" i="1"/>
  <c r="D52" i="1"/>
  <c r="D51" i="1"/>
  <c r="E50" i="1"/>
  <c r="D50" i="1" s="1"/>
  <c r="D49" i="1"/>
  <c r="D48" i="1"/>
  <c r="D47" i="1"/>
  <c r="D46" i="1"/>
  <c r="D45" i="1"/>
  <c r="E44" i="1"/>
  <c r="D44" i="1" s="1"/>
  <c r="D42" i="1"/>
  <c r="D41" i="1"/>
  <c r="D40" i="1"/>
  <c r="D39" i="1"/>
  <c r="D37" i="1"/>
  <c r="D36" i="1"/>
  <c r="D33" i="1"/>
  <c r="D32" i="1"/>
  <c r="D31" i="1"/>
  <c r="D30" i="1"/>
  <c r="D29" i="1"/>
  <c r="D28" i="1"/>
  <c r="M27" i="1"/>
  <c r="L27" i="1"/>
  <c r="K27" i="1"/>
  <c r="J27" i="1"/>
  <c r="I27" i="1"/>
  <c r="H27" i="1"/>
  <c r="G27" i="1"/>
  <c r="F27" i="1"/>
  <c r="E27" i="1"/>
  <c r="D26" i="1"/>
  <c r="D25" i="1"/>
  <c r="D24" i="1"/>
  <c r="D23" i="1"/>
  <c r="D22" i="1"/>
  <c r="D21" i="1"/>
  <c r="D20" i="1"/>
  <c r="D19" i="1"/>
  <c r="M18" i="1"/>
  <c r="L18" i="1"/>
  <c r="K18" i="1"/>
  <c r="J18" i="1"/>
  <c r="I18" i="1"/>
  <c r="H18" i="1"/>
  <c r="G18" i="1"/>
  <c r="F18" i="1"/>
  <c r="E18" i="1"/>
  <c r="D16" i="1"/>
  <c r="D15" i="1"/>
  <c r="D14" i="1"/>
  <c r="D12" i="1"/>
  <c r="D11" i="1"/>
  <c r="D10" i="1"/>
  <c r="N506" i="1" l="1"/>
  <c r="N523" i="1"/>
  <c r="N508" i="1"/>
  <c r="N512" i="1"/>
  <c r="N516" i="1"/>
  <c r="N529" i="1"/>
  <c r="D451" i="1"/>
  <c r="D75" i="1"/>
  <c r="D274" i="1"/>
  <c r="D212" i="1"/>
  <c r="D293" i="1"/>
  <c r="D329" i="1"/>
  <c r="D703" i="1"/>
  <c r="D95" i="1"/>
  <c r="D92" i="1" s="1"/>
  <c r="D227" i="1"/>
  <c r="D245" i="1"/>
  <c r="D149" i="1"/>
  <c r="D142" i="1"/>
  <c r="K431" i="1"/>
  <c r="D749" i="1"/>
  <c r="D753" i="1"/>
  <c r="D270" i="1"/>
  <c r="L431" i="1"/>
  <c r="D452" i="1"/>
  <c r="D498" i="1"/>
  <c r="D738" i="1"/>
  <c r="D223" i="1"/>
  <c r="D184" i="1"/>
  <c r="D319" i="1"/>
  <c r="D376" i="1"/>
  <c r="K421" i="1"/>
  <c r="D472" i="1"/>
  <c r="D734" i="1"/>
  <c r="D687" i="1"/>
  <c r="D465" i="1"/>
  <c r="D432" i="1"/>
  <c r="D412" i="1"/>
  <c r="I597" i="1"/>
  <c r="I606" i="1" s="1"/>
  <c r="H597" i="1"/>
  <c r="H606" i="1" s="1"/>
  <c r="G431" i="1"/>
  <c r="H431" i="1"/>
  <c r="D288" i="1"/>
  <c r="J284" i="1"/>
  <c r="D411" i="1"/>
  <c r="D256" i="1"/>
  <c r="D252" i="1"/>
  <c r="D238" i="1"/>
  <c r="D230" i="1"/>
  <c r="D176" i="1"/>
  <c r="D77" i="1"/>
  <c r="D76" i="1"/>
  <c r="D55" i="1"/>
  <c r="D18" i="1"/>
  <c r="D128" i="1"/>
  <c r="D676" i="1"/>
  <c r="D221" i="1"/>
  <c r="D461" i="1"/>
  <c r="F431" i="1"/>
  <c r="F358" i="1"/>
  <c r="D309" i="1"/>
  <c r="D340" i="1" s="1"/>
  <c r="J431" i="1"/>
  <c r="J358" i="1"/>
  <c r="D267" i="1"/>
  <c r="D393" i="1"/>
  <c r="D707" i="1"/>
  <c r="G705" i="1"/>
  <c r="D705" i="1" s="1"/>
  <c r="G63" i="1"/>
  <c r="D63" i="1" s="1"/>
  <c r="D217" i="1"/>
  <c r="D342" i="1"/>
  <c r="D349" i="1"/>
  <c r="D357" i="1"/>
  <c r="D390" i="1"/>
  <c r="D392" i="1"/>
  <c r="D404" i="1"/>
  <c r="J412" i="1"/>
  <c r="D416" i="1"/>
  <c r="H415" i="1"/>
  <c r="E421" i="1"/>
  <c r="D455" i="1"/>
  <c r="D466" i="1"/>
  <c r="D490" i="1"/>
  <c r="D564" i="1"/>
  <c r="D565" i="1"/>
  <c r="D719" i="1"/>
  <c r="D415" i="1"/>
  <c r="E597" i="1"/>
  <c r="E606" i="1" s="1"/>
  <c r="D27" i="1"/>
  <c r="D195" i="1"/>
  <c r="D234" i="1"/>
  <c r="D265" i="1"/>
  <c r="D268" i="1"/>
  <c r="D299" i="1"/>
  <c r="E356" i="1"/>
  <c r="D356" i="1" s="1"/>
  <c r="D323" i="1"/>
  <c r="D352" i="1"/>
  <c r="D369" i="1"/>
  <c r="D388" i="1"/>
  <c r="D397" i="1"/>
  <c r="J411" i="1"/>
  <c r="D422" i="1"/>
  <c r="D425" i="1"/>
  <c r="D435" i="1"/>
  <c r="D463" i="1"/>
  <c r="E462" i="1"/>
  <c r="D462" i="1" s="1"/>
  <c r="D480" i="1"/>
  <c r="E479" i="1"/>
  <c r="D479" i="1" s="1"/>
  <c r="D586" i="1"/>
  <c r="D697" i="1"/>
  <c r="D704" i="1"/>
  <c r="E358" i="1"/>
  <c r="I358" i="1"/>
  <c r="M358" i="1"/>
  <c r="F386" i="1"/>
  <c r="D386" i="1" s="1"/>
  <c r="D606" i="1" l="1"/>
  <c r="D74" i="1"/>
  <c r="D421" i="1"/>
  <c r="D597" i="1"/>
  <c r="D431" i="1"/>
  <c r="D266" i="1"/>
  <c r="D358" i="1"/>
  <c r="E284" i="1"/>
  <c r="D284" i="1" s="1"/>
  <c r="D281" i="1"/>
  <c r="D282" i="1" s="1"/>
  <c r="O431" i="1" l="1"/>
  <c r="N274" i="1"/>
  <c r="N270" i="1"/>
  <c r="O10" i="1"/>
  <c r="N752" i="1" l="1"/>
  <c r="N750" i="1"/>
  <c r="N741" i="1"/>
  <c r="N737" i="1"/>
  <c r="O747" i="1"/>
  <c r="O731" i="1"/>
  <c r="O713" i="1"/>
  <c r="O681" i="1"/>
  <c r="O489" i="1"/>
  <c r="O488" i="1"/>
  <c r="O487" i="1"/>
  <c r="O486" i="1"/>
  <c r="O485" i="1"/>
  <c r="O484" i="1"/>
  <c r="O483" i="1"/>
  <c r="O482" i="1"/>
  <c r="O477" i="1"/>
  <c r="N409" i="1"/>
  <c r="N408" i="1"/>
  <c r="N404" i="1"/>
  <c r="N403" i="1"/>
  <c r="N399" i="1"/>
  <c r="N397" i="1"/>
  <c r="N396" i="1"/>
  <c r="N395" i="1"/>
  <c r="N394" i="1"/>
  <c r="N393" i="1"/>
  <c r="O360" i="1"/>
  <c r="N354" i="1"/>
  <c r="N351" i="1"/>
  <c r="O354" i="1"/>
  <c r="O353" i="1"/>
  <c r="O351" i="1"/>
  <c r="O345" i="1"/>
  <c r="O341" i="1"/>
  <c r="N334" i="1"/>
  <c r="O331" i="1"/>
  <c r="O318" i="1"/>
  <c r="O310" i="1"/>
  <c r="O298" i="1"/>
  <c r="O257" i="1"/>
  <c r="O260" i="1"/>
  <c r="O259" i="1"/>
  <c r="O258" i="1"/>
  <c r="O255" i="1"/>
  <c r="N674" i="1" l="1"/>
  <c r="N522" i="1"/>
  <c r="N533" i="1"/>
  <c r="N545" i="1"/>
  <c r="N525" i="1"/>
  <c r="N353" i="1"/>
  <c r="O251" i="1"/>
  <c r="O244" i="1"/>
  <c r="O226" i="1"/>
  <c r="O224" i="1"/>
  <c r="O220" i="1"/>
  <c r="O190" i="1"/>
  <c r="O188" i="1"/>
  <c r="O194" i="1"/>
  <c r="O192" i="1"/>
  <c r="N190" i="1"/>
  <c r="N188" i="1"/>
  <c r="O196" i="1"/>
  <c r="N173" i="1"/>
  <c r="O183" i="1"/>
  <c r="O182" i="1"/>
  <c r="O181" i="1"/>
  <c r="O180" i="1"/>
  <c r="O177" i="1"/>
  <c r="O162" i="1"/>
  <c r="O158" i="1"/>
  <c r="O153" i="1"/>
  <c r="O146" i="1"/>
  <c r="O144" i="1"/>
  <c r="O147" i="1"/>
  <c r="O143" i="1"/>
  <c r="N151" i="1" l="1"/>
  <c r="N681" i="1"/>
  <c r="N683" i="1"/>
  <c r="N170" i="1"/>
  <c r="N192" i="1"/>
  <c r="N193" i="1"/>
  <c r="N194" i="1"/>
  <c r="N191" i="1"/>
  <c r="N189" i="1"/>
  <c r="N149" i="1"/>
  <c r="N164" i="1"/>
  <c r="N166" i="1"/>
  <c r="N165" i="1"/>
  <c r="N169" i="1"/>
  <c r="N168" i="1"/>
  <c r="N167" i="1"/>
  <c r="N163" i="1"/>
  <c r="N161" i="1"/>
  <c r="N162" i="1"/>
  <c r="N155" i="1"/>
  <c r="N178" i="1"/>
  <c r="O178" i="1"/>
  <c r="N152" i="1"/>
  <c r="O141" i="1"/>
  <c r="N150" i="1"/>
  <c r="N120" i="1" l="1"/>
  <c r="N81" i="1"/>
  <c r="O91" i="1"/>
  <c r="O90" i="1"/>
  <c r="O89" i="1"/>
  <c r="O88" i="1"/>
  <c r="O87" i="1"/>
  <c r="O86" i="1"/>
  <c r="O85" i="1"/>
  <c r="O84" i="1"/>
  <c r="O79" i="1"/>
  <c r="O82" i="1"/>
  <c r="O81" i="1"/>
  <c r="O54" i="1"/>
  <c r="O40" i="1"/>
  <c r="O39" i="1"/>
  <c r="O41" i="1"/>
  <c r="O42" i="1"/>
  <c r="O33" i="1"/>
  <c r="N79" i="1" l="1"/>
  <c r="O148" i="1"/>
  <c r="N739" i="1" l="1"/>
  <c r="N735" i="1"/>
  <c r="O548" i="1" l="1"/>
  <c r="O383" i="1"/>
  <c r="N257" i="1" l="1"/>
  <c r="N220" i="1"/>
  <c r="O756" i="1" l="1"/>
  <c r="O754" i="1"/>
  <c r="O171" i="1"/>
  <c r="O133" i="1"/>
  <c r="O134" i="1"/>
  <c r="O132" i="1"/>
  <c r="O496" i="1" l="1"/>
  <c r="O30" i="1" l="1"/>
  <c r="O37" i="1"/>
  <c r="O36" i="1"/>
  <c r="O32" i="1"/>
  <c r="O31" i="1"/>
  <c r="O21" i="1"/>
  <c r="O20" i="1"/>
  <c r="O733" i="1" l="1"/>
  <c r="O227" i="1" l="1"/>
  <c r="N234" i="1"/>
  <c r="N694" i="1" l="1"/>
  <c r="N696" i="1"/>
  <c r="O701" i="1" l="1"/>
  <c r="O700" i="1"/>
  <c r="O699" i="1"/>
  <c r="O698" i="1"/>
  <c r="O683" i="1"/>
  <c r="N384" i="1" l="1"/>
  <c r="N208" i="1"/>
  <c r="N201" i="1"/>
  <c r="N205" i="1"/>
  <c r="N209" i="1"/>
  <c r="N198" i="1"/>
  <c r="N202" i="1"/>
  <c r="N206" i="1"/>
  <c r="N199" i="1"/>
  <c r="N203" i="1"/>
  <c r="N207" i="1"/>
  <c r="N200" i="1"/>
  <c r="N204" i="1"/>
  <c r="N402" i="1"/>
  <c r="N183" i="1" l="1"/>
  <c r="O155" i="1"/>
  <c r="N179" i="1" l="1"/>
  <c r="O121" i="1" l="1"/>
  <c r="O120" i="1" l="1"/>
  <c r="O119" i="1"/>
  <c r="O115" i="1"/>
  <c r="O114" i="1"/>
  <c r="O113" i="1"/>
  <c r="O112" i="1"/>
  <c r="O111" i="1"/>
  <c r="O110" i="1"/>
  <c r="O109" i="1"/>
  <c r="O108" i="1"/>
  <c r="O107" i="1"/>
  <c r="O106" i="1"/>
  <c r="O105" i="1"/>
  <c r="O102" i="1"/>
  <c r="O101" i="1"/>
  <c r="O100" i="1"/>
  <c r="O99" i="1"/>
  <c r="O98" i="1"/>
  <c r="O118" i="1"/>
  <c r="O117" i="1"/>
  <c r="O116" i="1"/>
  <c r="O104" i="1"/>
  <c r="O96" i="1"/>
  <c r="O103" i="1"/>
  <c r="O97" i="1" l="1"/>
  <c r="O93" i="1"/>
  <c r="N94" i="1"/>
  <c r="O49" i="1"/>
  <c r="O45" i="1"/>
  <c r="O95" i="1" l="1"/>
  <c r="O23" i="1" l="1"/>
  <c r="N88" i="1" l="1"/>
  <c r="N89" i="1"/>
  <c r="N91" i="1"/>
  <c r="N41" i="1"/>
  <c r="N335" i="1" l="1"/>
  <c r="N308" i="1"/>
  <c r="N160" i="1"/>
  <c r="N135" i="1"/>
  <c r="N54" i="1"/>
  <c r="N50" i="1" l="1"/>
  <c r="O361" i="1" l="1"/>
  <c r="O720" i="1" l="1"/>
  <c r="N746" i="1" l="1"/>
  <c r="N134" i="1"/>
  <c r="N133" i="1"/>
  <c r="N132" i="1"/>
  <c r="N131" i="1"/>
  <c r="O176" i="1" l="1"/>
  <c r="O12" i="1"/>
  <c r="N129" i="1" l="1"/>
  <c r="O129" i="1"/>
  <c r="O195" i="1"/>
  <c r="N350" i="1" l="1"/>
  <c r="O350" i="1"/>
  <c r="N360" i="1"/>
  <c r="O123" i="1" l="1"/>
  <c r="N157" i="1" l="1"/>
  <c r="N174" i="1"/>
  <c r="N175" i="1"/>
  <c r="N159" i="1"/>
  <c r="N171" i="1"/>
  <c r="N156" i="1"/>
  <c r="N172" i="1"/>
  <c r="N123" i="1"/>
  <c r="O125" i="1"/>
  <c r="N125" i="1"/>
  <c r="O124" i="1"/>
  <c r="N124" i="1"/>
  <c r="O126" i="1"/>
  <c r="N126" i="1"/>
  <c r="N158" i="1"/>
  <c r="N84" i="1"/>
  <c r="N44" i="1"/>
  <c r="N40" i="1"/>
  <c r="O29" i="1"/>
  <c r="N42" i="1" l="1"/>
  <c r="N39" i="1"/>
  <c r="N374" i="1" l="1"/>
  <c r="N375" i="1" l="1"/>
  <c r="N672" i="1"/>
  <c r="O217" i="1" l="1"/>
  <c r="N392" i="1" l="1"/>
  <c r="N597" i="1"/>
  <c r="N341" i="1"/>
  <c r="N217" i="1"/>
  <c r="N227" i="1"/>
  <c r="O223" i="1"/>
  <c r="O212" i="1"/>
  <c r="N18" i="1"/>
  <c r="N212" i="1"/>
  <c r="N223" i="1"/>
  <c r="N469" i="1" l="1"/>
  <c r="N462" i="1"/>
  <c r="N470" i="1"/>
  <c r="N465" i="1"/>
  <c r="N430" i="1"/>
  <c r="N429" i="1"/>
  <c r="N425" i="1"/>
  <c r="N422" i="1"/>
  <c r="O336" i="1" l="1"/>
  <c r="N420" i="1" l="1"/>
  <c r="O308" i="1"/>
  <c r="O307" i="1"/>
  <c r="O304" i="1"/>
  <c r="O300" i="1"/>
  <c r="O293" i="1"/>
  <c r="N298" i="1" l="1"/>
  <c r="N293" i="1"/>
  <c r="O299" i="1"/>
  <c r="O288" i="1"/>
  <c r="N90" i="1"/>
  <c r="N288" i="1" l="1"/>
  <c r="N299" i="1"/>
  <c r="N419" i="1" l="1"/>
  <c r="O372" i="1" l="1"/>
  <c r="O373" i="1"/>
  <c r="N726" i="1" l="1"/>
  <c r="N729" i="1" l="1"/>
  <c r="O403" i="1"/>
  <c r="O400" i="1"/>
  <c r="N386" i="1"/>
  <c r="N383" i="1"/>
  <c r="N365" i="1"/>
  <c r="N364" i="1"/>
  <c r="O344" i="1"/>
  <c r="O317" i="1"/>
  <c r="O314" i="1"/>
  <c r="N337" i="1"/>
  <c r="N343" i="1" l="1"/>
  <c r="O343" i="1"/>
  <c r="N391" i="1"/>
  <c r="N407" i="1"/>
  <c r="N286" i="1"/>
  <c r="N285" i="1"/>
  <c r="N400" i="1"/>
  <c r="N197" i="1"/>
  <c r="N733" i="1"/>
  <c r="O367" i="1"/>
  <c r="O366" i="1"/>
  <c r="N333" i="1"/>
  <c r="N279" i="1"/>
  <c r="N338" i="1"/>
  <c r="N280" i="1"/>
  <c r="N339" i="1"/>
  <c r="N177" i="1"/>
  <c r="N141" i="1"/>
  <c r="N278" i="1"/>
  <c r="N369" i="1"/>
  <c r="N415" i="1"/>
  <c r="N412" i="1"/>
  <c r="N283" i="1"/>
  <c r="O309" i="1" l="1"/>
  <c r="N329" i="1"/>
  <c r="O384" i="1"/>
  <c r="N459" i="1"/>
  <c r="N455" i="1"/>
  <c r="N238" i="1"/>
  <c r="N264" i="1"/>
  <c r="N230" i="1"/>
  <c r="N323" i="1"/>
  <c r="N319" i="1"/>
  <c r="N460" i="1"/>
  <c r="N452" i="1"/>
  <c r="N267" i="1"/>
  <c r="N252" i="1"/>
  <c r="N142" i="1"/>
  <c r="N245" i="1"/>
  <c r="N450" i="1" l="1"/>
  <c r="N449" i="1"/>
  <c r="N445" i="1"/>
  <c r="N442" i="1"/>
  <c r="N439" i="1"/>
  <c r="N440" i="1"/>
  <c r="N432" i="1"/>
  <c r="N435" i="1"/>
  <c r="N87" i="1"/>
  <c r="N86" i="1"/>
  <c r="N85" i="1"/>
  <c r="N55" i="1" l="1"/>
  <c r="O28" i="1" l="1"/>
  <c r="N27" i="1"/>
  <c r="O25" i="1"/>
  <c r="O24" i="1"/>
  <c r="O19" i="1"/>
  <c r="O16" i="1"/>
  <c r="O15" i="1"/>
  <c r="O14" i="1"/>
  <c r="N731" i="1" l="1"/>
  <c r="O678" i="1"/>
  <c r="N563" i="1"/>
  <c r="N562" i="1"/>
  <c r="N559" i="1"/>
  <c r="N558" i="1"/>
  <c r="O742" i="1" l="1"/>
  <c r="N565" i="1"/>
  <c r="O140" i="1"/>
  <c r="N92" i="1"/>
  <c r="N747" i="1"/>
  <c r="O748" i="1"/>
  <c r="N566" i="1"/>
  <c r="O732" i="1"/>
  <c r="N560" i="1"/>
  <c r="N596" i="1"/>
  <c r="N742" i="1"/>
  <c r="N678" i="1"/>
  <c r="N564" i="1"/>
  <c r="N15" i="1"/>
  <c r="N16" i="1"/>
  <c r="N14" i="1"/>
  <c r="N82" i="1"/>
  <c r="N548" i="1" l="1"/>
  <c r="N549" i="1" l="1"/>
  <c r="O504" i="1"/>
  <c r="O503" i="1"/>
  <c r="O677" i="1"/>
  <c r="N675" i="1" l="1"/>
  <c r="O675" i="1"/>
  <c r="N546" i="1"/>
  <c r="N677" i="1"/>
  <c r="N714" i="1"/>
  <c r="N743" i="1" l="1"/>
  <c r="O724" i="1"/>
  <c r="O723" i="1"/>
  <c r="N673" i="1"/>
  <c r="O501" i="1"/>
  <c r="O499" i="1"/>
  <c r="O500" i="1"/>
  <c r="O497" i="1"/>
  <c r="O495" i="1"/>
  <c r="O494" i="1"/>
  <c r="O493" i="1"/>
  <c r="O478" i="1"/>
  <c r="O476" i="1"/>
  <c r="O475" i="1"/>
  <c r="O474" i="1"/>
  <c r="O473" i="1"/>
  <c r="O674" i="1" l="1"/>
</calcChain>
</file>

<file path=xl/sharedStrings.xml><?xml version="1.0" encoding="utf-8"?>
<sst xmlns="http://schemas.openxmlformats.org/spreadsheetml/2006/main" count="1711" uniqueCount="1462">
  <si>
    <t>Показатель</t>
  </si>
  <si>
    <t>1.</t>
  </si>
  <si>
    <t>1.1.</t>
  </si>
  <si>
    <t>Представительные органы муниципальных образований</t>
  </si>
  <si>
    <t>9.1.</t>
  </si>
  <si>
    <t>Местные администрации</t>
  </si>
  <si>
    <t>18.1.</t>
  </si>
  <si>
    <t>Контрольные соотношения</t>
  </si>
  <si>
    <t>Территориальное общественное самоуправление</t>
  </si>
  <si>
    <t>Муници-пальные районы</t>
  </si>
  <si>
    <t>Городские округа</t>
  </si>
  <si>
    <t>Сельские поселения</t>
  </si>
  <si>
    <t>в</t>
  </si>
  <si>
    <t>Городские поселения</t>
  </si>
  <si>
    <t>Внутри-городские районы</t>
  </si>
  <si>
    <t>Ф.И.О. руководителя</t>
  </si>
  <si>
    <t>Главы муниципальных образований</t>
  </si>
  <si>
    <t>10.1.</t>
  </si>
  <si>
    <t>18.</t>
  </si>
  <si>
    <t>12.1.</t>
  </si>
  <si>
    <t>12.1.2.</t>
  </si>
  <si>
    <t>19.2.</t>
  </si>
  <si>
    <t>Муниципальные СМИ</t>
  </si>
  <si>
    <t>23.1.</t>
  </si>
  <si>
    <t xml:space="preserve">30. </t>
  </si>
  <si>
    <t>Сельские старосты</t>
  </si>
  <si>
    <t xml:space="preserve">32. </t>
  </si>
  <si>
    <t>Общее число замещенных депутатских мандатов</t>
  </si>
  <si>
    <t>по иным основаниям</t>
  </si>
  <si>
    <t>Правотворческая инициатива граждан</t>
  </si>
  <si>
    <t>Межмуниципальное сотрудничество</t>
  </si>
  <si>
    <t>Организации (юридические лица), созданные с участием органов местного самоуправления</t>
  </si>
  <si>
    <t>23.2.</t>
  </si>
  <si>
    <t>3.1.4.</t>
  </si>
  <si>
    <t>4.4.1.</t>
  </si>
  <si>
    <t>10.7.</t>
  </si>
  <si>
    <t>25.</t>
  </si>
  <si>
    <t>33.1.</t>
  </si>
  <si>
    <t>33.2.</t>
  </si>
  <si>
    <t>Муниципальные образования, главы которых избраны на сходах граждан</t>
  </si>
  <si>
    <t>Муниципальные образования с особенностями географического положения:</t>
  </si>
  <si>
    <t>1.1.1.</t>
  </si>
  <si>
    <t xml:space="preserve">  существующих (существовавших) в соответствии с законами субъектов Российской Федерации:</t>
  </si>
  <si>
    <t xml:space="preserve">  имеющие выход к морям Мирового океана и Каспийскому морю</t>
  </si>
  <si>
    <t>Сведения о территории и населении муниципальных образований</t>
  </si>
  <si>
    <t>Муниципальные образования с площадью территории (S):</t>
  </si>
  <si>
    <t xml:space="preserve">  S &gt; 100 тыс. кв. км.</t>
  </si>
  <si>
    <t>Муниципальные образования с численностью постоянного населения:</t>
  </si>
  <si>
    <t xml:space="preserve">  более 1 млн жителей</t>
  </si>
  <si>
    <t>Сведения о составе муниципальных образований и населенных пунктах</t>
  </si>
  <si>
    <t>Муниципальные районы с межселенными территориями</t>
  </si>
  <si>
    <t xml:space="preserve">  101 и более населенных пунктов</t>
  </si>
  <si>
    <t xml:space="preserve">  часть населенного пункта (города) и другие населенные пункты</t>
  </si>
  <si>
    <t>4.4.2.</t>
  </si>
  <si>
    <t>4.4.3.</t>
  </si>
  <si>
    <t>4.5.1.</t>
  </si>
  <si>
    <t>4.5.2.</t>
  </si>
  <si>
    <t>Муниципальные образования, на территории которых находятся:</t>
  </si>
  <si>
    <t xml:space="preserve">  городов</t>
  </si>
  <si>
    <t xml:space="preserve">  поселков</t>
  </si>
  <si>
    <t xml:space="preserve">  иных (сельских) населенных пунктов</t>
  </si>
  <si>
    <t>Муниципальные образования с особенностями статуса и организации местного самоуправления:</t>
  </si>
  <si>
    <t xml:space="preserve">  преобразования муниципальных образований, в т.ч.:</t>
  </si>
  <si>
    <t xml:space="preserve">      городской округ - городской округ с делением (наделение статусом)</t>
  </si>
  <si>
    <t xml:space="preserve">      городской округ с делением - городской округ (лишение статуса)</t>
  </si>
  <si>
    <t xml:space="preserve">      городской округ - городское поселение (лишение статуса)</t>
  </si>
  <si>
    <t xml:space="preserve">      городское поселение - городской округ (наделение статусом)</t>
  </si>
  <si>
    <t xml:space="preserve">  упразднение поселений</t>
  </si>
  <si>
    <t xml:space="preserve">  создание новых поселений на межселенных территориях</t>
  </si>
  <si>
    <t xml:space="preserve">  границы (но не статус) которых менялся в указанный период</t>
  </si>
  <si>
    <t xml:space="preserve">  в т.ч. по решению (определению) суда</t>
  </si>
  <si>
    <t xml:space="preserve">  все вопросы местного значения (кроме вопросов, закрепление которых за сельскими поселениями невозможно)</t>
  </si>
  <si>
    <t xml:space="preserve">    отдельные полномочия в социальной сфере (здравоохранение, образование, социальная защита населения, опека и попечительство)</t>
  </si>
  <si>
    <t xml:space="preserve">    на муниципальных выборах</t>
  </si>
  <si>
    <t xml:space="preserve">    методом делегирования</t>
  </si>
  <si>
    <t xml:space="preserve">  на муниципальных выборах, в т.ч.</t>
  </si>
  <si>
    <t xml:space="preserve">    по спискам кандидатов (пропорциональная система)</t>
  </si>
  <si>
    <t xml:space="preserve">    по одномандатным и многомандатным округам (мажоритарная система)</t>
  </si>
  <si>
    <t xml:space="preserve">    по смешанной системе (часть депутатов избраны по спискам, часть по округам)</t>
  </si>
  <si>
    <t xml:space="preserve">   действующие в полном составе (все мандаты замещены)</t>
  </si>
  <si>
    <t xml:space="preserve">  действующие в неполном, но правомочном составе (вакантных мандатов не более трети)</t>
  </si>
  <si>
    <t xml:space="preserve">  оставшиеся в неправомочном составе (более трети мандатов вакантны), но не распущенные</t>
  </si>
  <si>
    <t xml:space="preserve">  по форме осуществления полномочий:</t>
  </si>
  <si>
    <t xml:space="preserve">    работающие на постоянной основе</t>
  </si>
  <si>
    <t xml:space="preserve">    работающие на непостоянной основе</t>
  </si>
  <si>
    <t xml:space="preserve">  по полу:</t>
  </si>
  <si>
    <t xml:space="preserve">    мужчины</t>
  </si>
  <si>
    <t xml:space="preserve">    женщины</t>
  </si>
  <si>
    <t xml:space="preserve">    старше 65 лет</t>
  </si>
  <si>
    <t xml:space="preserve">  от городских поселений</t>
  </si>
  <si>
    <t xml:space="preserve">  от сельских поселений</t>
  </si>
  <si>
    <t xml:space="preserve">  от внутригородских районов</t>
  </si>
  <si>
    <t xml:space="preserve">  в муниципальном районе и городском поселении</t>
  </si>
  <si>
    <t xml:space="preserve">  в муниципальном районе и сельском поселении</t>
  </si>
  <si>
    <t xml:space="preserve">  в городском округе с внутригородским делением и внутригородском районе</t>
  </si>
  <si>
    <t>Действующие составы представительных органов, фактически сформированные:</t>
  </si>
  <si>
    <t xml:space="preserve">  избранные на муниципальных выборах - председатели представительных органов</t>
  </si>
  <si>
    <t xml:space="preserve">  избранные на муниципальных выборах - главы местных администраций</t>
  </si>
  <si>
    <t xml:space="preserve">  избранные на муниципальных выборах - председатели представительных органов и главы местных администраций</t>
  </si>
  <si>
    <t>Действующие главы муниципальных образований по форме осуществления полномочий:</t>
  </si>
  <si>
    <t xml:space="preserve">  работающие на постоянной основе</t>
  </si>
  <si>
    <t xml:space="preserve">  работающие на непостоянной основе</t>
  </si>
  <si>
    <t xml:space="preserve">  в одном и том же муниципальном образовании</t>
  </si>
  <si>
    <t xml:space="preserve">  статус главы муниципального района (городского округа с внутригородским делением) - депутата поселения (внутригородского района)</t>
  </si>
  <si>
    <t xml:space="preserve">  статус главы поселения (внутригородского района) - депутата муниципального района (городского округа с внутригородским делением)</t>
  </si>
  <si>
    <t>Главы, возглавляющие два муниципальных образования одновременно, в т.ч.:</t>
  </si>
  <si>
    <t xml:space="preserve">  муниципальный район и городское поселение</t>
  </si>
  <si>
    <t xml:space="preserve">  муниципальный район и сельское поселение</t>
  </si>
  <si>
    <t xml:space="preserve">  городской округ с внутригородским делением и внутригородской район</t>
  </si>
  <si>
    <t xml:space="preserve">  избранные депутатами из своего состава - председатели представительных органов</t>
  </si>
  <si>
    <t xml:space="preserve">  избранные депутатами из своего состава - главы местных администраций</t>
  </si>
  <si>
    <t xml:space="preserve">  избранные депутатами из своего состава - председатели представительных органов и главы местных администраций</t>
  </si>
  <si>
    <t xml:space="preserve">  избранные по конкурсу - главы местных администраций</t>
  </si>
  <si>
    <t xml:space="preserve">  избранные по конкурсу - председатели представительных органов и главы местных администраций</t>
  </si>
  <si>
    <t xml:space="preserve">  избранные на сходах - главы местных администраций</t>
  </si>
  <si>
    <t>Действующие главы муниципальных образований по сочетанию способа избрания и фактически исполняемым полномочиям:</t>
  </si>
  <si>
    <t>16.1.</t>
  </si>
  <si>
    <t>17.2.</t>
  </si>
  <si>
    <t>17.3.</t>
  </si>
  <si>
    <t>Муниципальные образования, в которых представительные органы не имеют статуса юридических лиц</t>
  </si>
  <si>
    <t>Органы местного самоуправления, имеющие статус юридических лиц:</t>
  </si>
  <si>
    <t xml:space="preserve">  представительные органы муниципальных образований</t>
  </si>
  <si>
    <t xml:space="preserve">  местные администрации</t>
  </si>
  <si>
    <t xml:space="preserve">  отраслевые (функциональные) органы местных администраций</t>
  </si>
  <si>
    <t xml:space="preserve">  территориальные органы местных администраций</t>
  </si>
  <si>
    <t xml:space="preserve">  контрольно-счетные органы муниципальных образований</t>
  </si>
  <si>
    <t xml:space="preserve">  иные органы местного самоуправления</t>
  </si>
  <si>
    <t>18.2.</t>
  </si>
  <si>
    <t>18.3.</t>
  </si>
  <si>
    <t>Число замещенных ставок</t>
  </si>
  <si>
    <t>Отсутствующие муниципальные служащие, за которыми сохраняется место работы</t>
  </si>
  <si>
    <t>Число замещенных ставок муниципальных служащих</t>
  </si>
  <si>
    <t>18.6.</t>
  </si>
  <si>
    <t>Муниципальная служба и муниципальные служащие</t>
  </si>
  <si>
    <t>Досрочное прекращение и приостановление полномочий органов и должностных лиц местного самоуправления</t>
  </si>
  <si>
    <t>19.1.</t>
  </si>
  <si>
    <t>Число замещенных должностей</t>
  </si>
  <si>
    <t>19.3.</t>
  </si>
  <si>
    <t xml:space="preserve">  по возрасту:</t>
  </si>
  <si>
    <t xml:space="preserve">  с ученой степенью</t>
  </si>
  <si>
    <t>Главы, возглавляющие два муниципальных образования одновременно (поселение и муниципальный район либо городской округ с внутригородским делением и внутригородской район)</t>
  </si>
  <si>
    <t>Муниципальные служащие:</t>
  </si>
  <si>
    <t>Число соответствующих ставок</t>
  </si>
  <si>
    <t>19.4.</t>
  </si>
  <si>
    <t>Отстуствующие должностные лица, за которыми сохраняется место работы</t>
  </si>
  <si>
    <t>Отсутствующие работники, за которыми сохраняется место работы</t>
  </si>
  <si>
    <t xml:space="preserve">  в связи с самороспуском</t>
  </si>
  <si>
    <t xml:space="preserve">  в связи с неправомочностью состава (согласно решению суда)</t>
  </si>
  <si>
    <t xml:space="preserve">  в связи с роспуском (согласно закону субъекта Российской Федерации)</t>
  </si>
  <si>
    <t xml:space="preserve">  в связи с упразднением или преобразованием муниципального образования</t>
  </si>
  <si>
    <t xml:space="preserve">  по иным основаниям</t>
  </si>
  <si>
    <t xml:space="preserve">  отставка по собственному желанию</t>
  </si>
  <si>
    <t xml:space="preserve">  смерть</t>
  </si>
  <si>
    <t xml:space="preserve">  отзыв избирателями</t>
  </si>
  <si>
    <t xml:space="preserve">  отрешение от должности высшим должностным лицом субъекта РФ</t>
  </si>
  <si>
    <t xml:space="preserve">  удаление в отставку по решению представительного органа</t>
  </si>
  <si>
    <t xml:space="preserve">  в связи с вступлением в силу обвинительного приговора</t>
  </si>
  <si>
    <t xml:space="preserve">  в связи с добровольной отставкой, досрочным расторжением контракта по инициативе главы местной администрации или по соглашению сторон</t>
  </si>
  <si>
    <t xml:space="preserve">  в связи со смертью</t>
  </si>
  <si>
    <t xml:space="preserve">  в судебном порядке (в связи с нарушением одной из сторон условий контракта)</t>
  </si>
  <si>
    <t xml:space="preserve">  в связи с отрешением от должности</t>
  </si>
  <si>
    <t xml:space="preserve">  роспуска представительного органа муниципального образования</t>
  </si>
  <si>
    <t xml:space="preserve">  отрешения от должности либо удаления в отставку главы муниципального образования (с восстановлением в должности)</t>
  </si>
  <si>
    <t xml:space="preserve">  отрешения от должности главы местной администрации либо расторжения контракта с ним (с восстановлением в должности)</t>
  </si>
  <si>
    <t xml:space="preserve">  глав муниципальных образований</t>
  </si>
  <si>
    <t xml:space="preserve">  глав местных администраций </t>
  </si>
  <si>
    <t xml:space="preserve">  в хозяйственных обществах</t>
  </si>
  <si>
    <t xml:space="preserve">  в некоммерческих организациях (с учетом советов муниципальных образований субъектов Российской Федерации)</t>
  </si>
  <si>
    <t xml:space="preserve">  в некоммерческих организациях (без учета советов муниципальных образований субъектов Российской Федерации)</t>
  </si>
  <si>
    <t xml:space="preserve">  в советах муниципальных образований</t>
  </si>
  <si>
    <t xml:space="preserve">  в иных межмуниципальных некоммерческих организациях</t>
  </si>
  <si>
    <t xml:space="preserve">  в межмуниципальных хозяйственных обществах</t>
  </si>
  <si>
    <t xml:space="preserve">  по иным вопросам</t>
  </si>
  <si>
    <t xml:space="preserve">  по вопросам осуществления полномочий представительных органов поселений</t>
  </si>
  <si>
    <t xml:space="preserve">  по вопросам изменения территориальной организации местного самоуправления</t>
  </si>
  <si>
    <t xml:space="preserve">  правила землепользования и застройки</t>
  </si>
  <si>
    <t xml:space="preserve">  правила благоустройства территории</t>
  </si>
  <si>
    <t>Муниципальные образования, в которых приняты действующие:</t>
  </si>
  <si>
    <t>4.1.2.</t>
  </si>
  <si>
    <t>4.1.3.</t>
  </si>
  <si>
    <t>Депутаты, имеющие депутатский статус в двух муниципальных образованиях:</t>
  </si>
  <si>
    <t>Главы муниципальных образований, одновременно имеющие статус депутата представительного органа муниципального образования:</t>
  </si>
  <si>
    <t>Социально-демографический статус депутатов представительных органов, глав муниципальных образований и муниципальных служащих</t>
  </si>
  <si>
    <t>Количество ТОС, имеющих с органами местного самоуправления соглашения, предусматривающие использование бюджетных средств</t>
  </si>
  <si>
    <t>31.1.</t>
  </si>
  <si>
    <t>31.</t>
  </si>
  <si>
    <t>31.2.</t>
  </si>
  <si>
    <t>31.3.</t>
  </si>
  <si>
    <t xml:space="preserve">  в местных администрациях, их отраслевых (функциональных) и территориальных органах</t>
  </si>
  <si>
    <t xml:space="preserve">  в иных органах местного самоуправления</t>
  </si>
  <si>
    <t>(наименование субъекта Российской Федерации или иной территории)</t>
  </si>
  <si>
    <t xml:space="preserve">  ранее существовавшие в ином статусе, но не являющиеся вновь образованными</t>
  </si>
  <si>
    <t xml:space="preserve">  федеральные полномочия, напрямую делегированные органам местного самоуправления (хотя бы одно из нижеперечисленных):</t>
  </si>
  <si>
    <t>Муниципальные образования, в которых представительные органы не сформированы по следующим причинам:</t>
  </si>
  <si>
    <t>Действующие представительные органы муниципальных образований по соотношению замещенных и вакантных мандатов:</t>
  </si>
  <si>
    <t>Муниципальные образования, в которых должности глав вакантны по следующим причинам:</t>
  </si>
  <si>
    <t xml:space="preserve">  ранее избранные главы прекратили осуществление своих полномочий, а новые еще не избраны</t>
  </si>
  <si>
    <t>Вакантные должности глав местных администраций (не глав муниципальных образований), подлежащие замещению по конкурсу</t>
  </si>
  <si>
    <t>Число действующих отраслевых (функциональных) органов местных администраций</t>
  </si>
  <si>
    <t>Число действующих территориальных органов местных администраций</t>
  </si>
  <si>
    <t>Муниципальные образования, участвующие в организациях межмуниципального сотрудничества, в том числе:</t>
  </si>
  <si>
    <t>Муниципальные образования, не участвующие в организациях межмуниципального сотрудничества</t>
  </si>
  <si>
    <t>Количество избранных (назначенных) сельских старост, работающих в сельских населенных пунктах в границах:</t>
  </si>
  <si>
    <t xml:space="preserve">  генеральные планы</t>
  </si>
  <si>
    <t xml:space="preserve">  схемы территориального планирования</t>
  </si>
  <si>
    <t xml:space="preserve">  нет данных</t>
  </si>
  <si>
    <t xml:space="preserve">  от 1 до 10 дополнительных вопросов местного значения либо полномочий</t>
  </si>
  <si>
    <t xml:space="preserve">  в соответствии с законами субъектов Российской Федерации:</t>
  </si>
  <si>
    <t xml:space="preserve">    допускаются оба способа формирования представительного органа</t>
  </si>
  <si>
    <t xml:space="preserve">  прекратившие существование в указанный период (утратившие статус муниципальных образований вследствие преобразования или упразднения)</t>
  </si>
  <si>
    <t>Поселения, в которых представительные органы не подлежат формированию в связи с осуществлением их полномочий сходом граждан</t>
  </si>
  <si>
    <t xml:space="preserve">    депутаты избираются на муниципальных выборах (явное указание)</t>
  </si>
  <si>
    <t xml:space="preserve">    состав формируется методом делегирования (явное указание)</t>
  </si>
  <si>
    <t xml:space="preserve">  муниципальные выборы (явное указание);</t>
  </si>
  <si>
    <t xml:space="preserve">  депутатами представительного органа из своего состава (явное указание);</t>
  </si>
  <si>
    <t xml:space="preserve">  из числа кандидатов, представленных конкурсными комиссиями (явное указание)</t>
  </si>
  <si>
    <t>Место глав муниципальных образований в системе органов местного самоуправления в соответствии с законами субъектов Российской Федерации:</t>
  </si>
  <si>
    <t xml:space="preserve">  главы местных администраций (явное указание)</t>
  </si>
  <si>
    <t xml:space="preserve">  председатели представительных органов (явное указание)</t>
  </si>
  <si>
    <t xml:space="preserve">  главы местных администраций и председатели представительных органов одновременно (явное указание)</t>
  </si>
  <si>
    <t xml:space="preserve">  избираемые на сходах - главы местных администраций</t>
  </si>
  <si>
    <t xml:space="preserve">  избираемые на муниципальных выборах - председатели представительных органов</t>
  </si>
  <si>
    <t xml:space="preserve">  избираемые на муниципальных выборах - главы местных администраций</t>
  </si>
  <si>
    <t xml:space="preserve">  избираемые на муниципальных выборах - председатели представительных органов и главы местных администраций</t>
  </si>
  <si>
    <t xml:space="preserve">  избираемые депутатами из своего состава - председатели представительных органов</t>
  </si>
  <si>
    <t xml:space="preserve">  избираемые депутатами из своего состава - главы местных администраций</t>
  </si>
  <si>
    <t xml:space="preserve">  избираемые депутатами из своего состава - председатели представительных органов и главы местных администраций</t>
  </si>
  <si>
    <t xml:space="preserve">  избираемые по конкурсу - главы местных администраций</t>
  </si>
  <si>
    <t xml:space="preserve">  избираемые по конкурсу - председатели представительных органов и главы местных администраций</t>
  </si>
  <si>
    <t xml:space="preserve">  в связи с утратой доверия Президента Российской Федерации ввиду нарушения антикоррупционных ограничений</t>
  </si>
  <si>
    <t>2.1.*</t>
  </si>
  <si>
    <t>2.2.*</t>
  </si>
  <si>
    <t>2.3.*</t>
  </si>
  <si>
    <t xml:space="preserve">  только городские поселения</t>
  </si>
  <si>
    <t>Муниципальные образования, в которых полномочия представительного органа осуществляются сходом граждан</t>
  </si>
  <si>
    <t>30.2.*</t>
  </si>
  <si>
    <t xml:space="preserve">  в т.ч. работающих на постоянной (штатной) основе</t>
  </si>
  <si>
    <t>3.1.1.*</t>
  </si>
  <si>
    <t>3.1.2.*</t>
  </si>
  <si>
    <t>3.1.3.*</t>
  </si>
  <si>
    <t>3.1.5.*</t>
  </si>
  <si>
    <t>3.1.6.*</t>
  </si>
  <si>
    <t>3.1.7.*</t>
  </si>
  <si>
    <t>3.1.8.*</t>
  </si>
  <si>
    <t>3.2.</t>
  </si>
  <si>
    <t>3.2.1.*</t>
  </si>
  <si>
    <t>3.2.2.*</t>
  </si>
  <si>
    <t>3.2.6.*</t>
  </si>
  <si>
    <t xml:space="preserve">  11-20 поселений</t>
  </si>
  <si>
    <t xml:space="preserve">  21 и более поселений</t>
  </si>
  <si>
    <t>4.1.1.*</t>
  </si>
  <si>
    <t>Муниципальные районы по видам входящих в их состав поселений:</t>
  </si>
  <si>
    <t>Муниципальные районы по количеству входящих в их состав поселений:</t>
  </si>
  <si>
    <t>4.2.2.</t>
  </si>
  <si>
    <t>4.3.*</t>
  </si>
  <si>
    <t xml:space="preserve">  11-100 населенных пунктов</t>
  </si>
  <si>
    <t xml:space="preserve">4.4. </t>
  </si>
  <si>
    <t>4.4.4.</t>
  </si>
  <si>
    <t>4.4.5.</t>
  </si>
  <si>
    <t>4.4.6.</t>
  </si>
  <si>
    <t>4.5.</t>
  </si>
  <si>
    <t>Количество населенных пунктов:</t>
  </si>
  <si>
    <t>4.5.1.1.</t>
  </si>
  <si>
    <t>4.5.1.2.</t>
  </si>
  <si>
    <t>4.5.1.3.</t>
  </si>
  <si>
    <t xml:space="preserve">    городов</t>
  </si>
  <si>
    <t xml:space="preserve">    поселков</t>
  </si>
  <si>
    <t xml:space="preserve">    иных (сельских) населенных пунктов</t>
  </si>
  <si>
    <t xml:space="preserve">  расположенных на межселенных территориях (вне поселений), в т.ч.:</t>
  </si>
  <si>
    <t xml:space="preserve">  расположенных в субъектах Российской Федерации - городах федерального значения, в т.ч.:</t>
  </si>
  <si>
    <t>4.5.2.1.</t>
  </si>
  <si>
    <t>4.5.2.2.</t>
  </si>
  <si>
    <t>4.5.3.</t>
  </si>
  <si>
    <t>4.5.3.1.</t>
  </si>
  <si>
    <t>4.5.3.2.</t>
  </si>
  <si>
    <t>4.5.3.3.</t>
  </si>
  <si>
    <t>4.5.4.</t>
  </si>
  <si>
    <t>4.5.4.1.</t>
  </si>
  <si>
    <t>4.5.4.2.</t>
  </si>
  <si>
    <t>4.5.4.3.</t>
  </si>
  <si>
    <t xml:space="preserve">  до 1 млн рублей</t>
  </si>
  <si>
    <t>3.2.5.*</t>
  </si>
  <si>
    <t xml:space="preserve">  3-10 населенных пунктов</t>
  </si>
  <si>
    <t xml:space="preserve">  вновь образованные в указанный период (в том числе в связи с преобразованиями)</t>
  </si>
  <si>
    <t>6.6.*</t>
  </si>
  <si>
    <t>6.6.1.*</t>
  </si>
  <si>
    <t>9.</t>
  </si>
  <si>
    <t>9.3.</t>
  </si>
  <si>
    <t>Представительные органы муниципальных районов и городских округов с внутригородским делением, которые должны формироваться:</t>
  </si>
  <si>
    <t xml:space="preserve">  полномочия представительных органов осуществляются сходами граждан</t>
  </si>
  <si>
    <t xml:space="preserve">  полномочия ранее действовавших составов прекращены (в том числе в связи с роспуском или самороспуском), новые еще не сформированы</t>
  </si>
  <si>
    <t xml:space="preserve">  во вновь образованных и (или) преобразованных муниципальных образованиях выборы (процедуры формирования) еще не проводились либо не привели к формированию правомочного состава</t>
  </si>
  <si>
    <t>10.3.</t>
  </si>
  <si>
    <t xml:space="preserve">  иное (не указан, обозначен в виде возможных вариантов или поставлен в зависимость от каких-либо условий)</t>
  </si>
  <si>
    <t xml:space="preserve">  иное (не указано, обозначено в виде возможных вариантов или поставлено в зависимость от каких-либо условий)</t>
  </si>
  <si>
    <t>11.2.*</t>
  </si>
  <si>
    <t xml:space="preserve">  во вновь образованных и (или) преобразованных муниципальных образованиях выборы главы еще не проводились либо не состоялись</t>
  </si>
  <si>
    <t>Главы утративших статус и (или) преобразованных) муниципальных образований, продолжающие работу до завершения переходного периода</t>
  </si>
  <si>
    <t>Муниципальные образования, главы которых временно отстранены от должности</t>
  </si>
  <si>
    <t>Муниципальные образования, в которых утвержденная структура местной администрации предусматривает создание:</t>
  </si>
  <si>
    <t xml:space="preserve">  отраслевых (функциональных) органов местной администрации</t>
  </si>
  <si>
    <t xml:space="preserve">   территориальных органов местной администрации</t>
  </si>
  <si>
    <t xml:space="preserve">    от 18 до 35 лет</t>
  </si>
  <si>
    <t xml:space="preserve">    от 36 до 65 лет</t>
  </si>
  <si>
    <t xml:space="preserve">   с высшим образованием</t>
  </si>
  <si>
    <t xml:space="preserve">  с высшим образованием</t>
  </si>
  <si>
    <t>Общественные палаты (советы) муниципальных образований</t>
  </si>
  <si>
    <t xml:space="preserve">  11 и более вопросов местного значения (но не все вопросы местного значения)</t>
  </si>
  <si>
    <t xml:space="preserve">  1-2 поселения (или без поселений)</t>
  </si>
  <si>
    <t xml:space="preserve">4.2. </t>
  </si>
  <si>
    <t>4.2.1.</t>
  </si>
  <si>
    <t>Муниципальные образования и местные бюджеты</t>
  </si>
  <si>
    <t xml:space="preserve">  до 100 жителей</t>
  </si>
  <si>
    <t>3.2.4.*</t>
  </si>
  <si>
    <t>3.1.*</t>
  </si>
  <si>
    <t>6.1.*</t>
  </si>
  <si>
    <t>6.2.*</t>
  </si>
  <si>
    <t>6.2.1.*</t>
  </si>
  <si>
    <t>6.2.2.*</t>
  </si>
  <si>
    <t>6.2.3.*</t>
  </si>
  <si>
    <t>6.2.3.1.*</t>
  </si>
  <si>
    <t>6.2.3.2.*</t>
  </si>
  <si>
    <t>6.2.3.3.*</t>
  </si>
  <si>
    <t>6.2.3.4.*</t>
  </si>
  <si>
    <t>6.3.*</t>
  </si>
  <si>
    <t>6.4.*</t>
  </si>
  <si>
    <t>6.5.*</t>
  </si>
  <si>
    <t>7.1.*</t>
  </si>
  <si>
    <t>7.2.*</t>
  </si>
  <si>
    <t>7.3.*</t>
  </si>
  <si>
    <t>7.4.*</t>
  </si>
  <si>
    <t>10.3.1.*</t>
  </si>
  <si>
    <t>3.</t>
  </si>
  <si>
    <t>4.</t>
  </si>
  <si>
    <t>10.9.</t>
  </si>
  <si>
    <t>12.1.1.</t>
  </si>
  <si>
    <t>12.1.3.</t>
  </si>
  <si>
    <t>12.1.3.1.</t>
  </si>
  <si>
    <t>12.1.3.2.</t>
  </si>
  <si>
    <t>13.1.1.*</t>
  </si>
  <si>
    <t>13.1.2.*</t>
  </si>
  <si>
    <t>13.2.*</t>
  </si>
  <si>
    <t>13.6.1.</t>
  </si>
  <si>
    <t>13.6.2.</t>
  </si>
  <si>
    <t>13.1.*</t>
  </si>
  <si>
    <t>14.</t>
  </si>
  <si>
    <t>14.1.</t>
  </si>
  <si>
    <t>15.1.3.*</t>
  </si>
  <si>
    <t>Контрольно-счетные органы муниципальных образований</t>
  </si>
  <si>
    <t>Количество действующих контрольно-счетных органов муниципальных образований</t>
  </si>
  <si>
    <t>17.3.1.</t>
  </si>
  <si>
    <t>Муниципальные образования, в которых предусмотрены следующие формы осуществления внешнего финансового контроля:</t>
  </si>
  <si>
    <t xml:space="preserve">  создание контрольно-счетных органов</t>
  </si>
  <si>
    <t xml:space="preserve">  передача полномочий по осуществлению внешнего финансового контроля контрольно-счетным органам другого уровня</t>
  </si>
  <si>
    <t>24.3.</t>
  </si>
  <si>
    <t>27.1.</t>
  </si>
  <si>
    <t>27.1.1.</t>
  </si>
  <si>
    <t xml:space="preserve">  по вопросам самообложения</t>
  </si>
  <si>
    <t>Сходы граждан</t>
  </si>
  <si>
    <t>Собрания, конференции, публичные слушания, опросы</t>
  </si>
  <si>
    <t>31.4.</t>
  </si>
  <si>
    <t>Уставы муниципальных образований и нормативно-правовое обеспечение</t>
  </si>
  <si>
    <t>32.3.*</t>
  </si>
  <si>
    <t>32.4.</t>
  </si>
  <si>
    <t>Общая численность членов общественных палат (советов) муниципальных образований, общественных советов при органах местного самоуправления</t>
  </si>
  <si>
    <t>33.3.</t>
  </si>
  <si>
    <t>Количество муниципальных образований, на территории которых действует не менее одного ТОС со статусом юридических лиц (некоммерческих организаций)</t>
  </si>
  <si>
    <t>Количество ТОС со статусом юридических лиц, действующих на территории:</t>
  </si>
  <si>
    <t>Сведения об участниках процесса сбора, обобщения и уточнения информации в рамках мониторинга развития местного самоуправления</t>
  </si>
  <si>
    <t>32.6.*</t>
  </si>
  <si>
    <t>11.1.1.2.*</t>
  </si>
  <si>
    <t>Внутригородские районы, за которыми закреплены дополнительные вопросы местного значения и (или) дополнительные полномочия на условиях разграничения полномочий с городским округом с внутригородским делением</t>
  </si>
  <si>
    <t>11.5.1.</t>
  </si>
  <si>
    <t>12.5.</t>
  </si>
  <si>
    <t xml:space="preserve">  в аппаратах представительных органов муниципальных образований</t>
  </si>
  <si>
    <t>11.1.2.2.*</t>
  </si>
  <si>
    <t>Общее число ставок муниципальных служащих  согласно штатному расписанию</t>
  </si>
  <si>
    <t>Главы местных администраций (не главы муниципальных образований), назначенные по конкурсу</t>
  </si>
  <si>
    <t>16.3.</t>
  </si>
  <si>
    <t>16.7.*</t>
  </si>
  <si>
    <t>Муниципальные образования, в соответствии с уставами которых:</t>
  </si>
  <si>
    <t xml:space="preserve">  местные администрации возглавляются главами муниципальных образований</t>
  </si>
  <si>
    <t xml:space="preserve">  предусматривается назначение глав местных администраций (не глав муниципальных образований) по конкурсу</t>
  </si>
  <si>
    <t>Главы муниципальных образований, возглавляющие местные администрации</t>
  </si>
  <si>
    <t xml:space="preserve"> Главы местных администраций, назначенные по конкурсу и временно отстраненные от должности</t>
  </si>
  <si>
    <t xml:space="preserve"> Главы местных администраций, возглавляющие администрации утративших статус и (или) преобразованных муниципальных образований, назначенные по конкурсу и продолжающие работу до завершения переходного периода</t>
  </si>
  <si>
    <t xml:space="preserve">  иное (либо вопрос осуществления внешнего финансового контроля не урегулирован)</t>
  </si>
  <si>
    <t xml:space="preserve">    с высшим образованием, в т.ч.:</t>
  </si>
  <si>
    <t xml:space="preserve">  с высшим образованием, в т.ч.:</t>
  </si>
  <si>
    <t xml:space="preserve">    порядок формирования представительного органа не указан в явном виде и зависит от каких-либо условий (критериев), обозначенных в законе.</t>
  </si>
  <si>
    <t>4.2.3.</t>
  </si>
  <si>
    <t xml:space="preserve">  городские и сельские поселения</t>
  </si>
  <si>
    <t xml:space="preserve">  только сельские поселения (или без поселений)</t>
  </si>
  <si>
    <t xml:space="preserve">  1-2 населенный пункта (или ни одного населенного пункта)</t>
  </si>
  <si>
    <t>12.7.</t>
  </si>
  <si>
    <t>Внутригородские муниципальные образования городов Москвы, Санкт-Петербурга, Севастополя</t>
  </si>
  <si>
    <t>Общее число членов контрольно-счетных органов муниципальных образований (включая их председателей, заместителей председателей и аудиторов)</t>
  </si>
  <si>
    <t>Муниципальные образования, не являющиеся учредителями (соучредителями) каких-либо муниципальных СМИ</t>
  </si>
  <si>
    <t>Муниципальные образования, имеющие договоры о внешнеэкономическом и приграничном сотрудничестве с зарубежными муниципалитетами и территориями (включая "города-побратимы")</t>
  </si>
  <si>
    <t>Муници-пальные округа</t>
  </si>
  <si>
    <t xml:space="preserve">  приграничные, непосредственно примыкающие к государственной границе (кроме морской границы)</t>
  </si>
  <si>
    <t>Примечания</t>
  </si>
  <si>
    <t>1.2.*</t>
  </si>
  <si>
    <t>3.2.7.*</t>
  </si>
  <si>
    <t>3.2.8.*</t>
  </si>
  <si>
    <t xml:space="preserve">  от 50 001 до 100 000 жителей</t>
  </si>
  <si>
    <t>3.3.</t>
  </si>
  <si>
    <t>3.3.1.</t>
  </si>
  <si>
    <t>3.3.2.</t>
  </si>
  <si>
    <t>3.3.3.</t>
  </si>
  <si>
    <t>3.3.4.</t>
  </si>
  <si>
    <t>4.1.</t>
  </si>
  <si>
    <t xml:space="preserve">  лишь часть населенного пункта (города)</t>
  </si>
  <si>
    <t xml:space="preserve">  расположенных в границах поселений, муниципальных и городских округов в т.ч.:</t>
  </si>
  <si>
    <t xml:space="preserve">  3-5 поселений</t>
  </si>
  <si>
    <t xml:space="preserve">  6-10 поселений</t>
  </si>
  <si>
    <t>4.1.4.</t>
  </si>
  <si>
    <t>4.1.5.*</t>
  </si>
  <si>
    <t xml:space="preserve">5.1. </t>
  </si>
  <si>
    <t>Муниципальные образования с особым правовым статусом:</t>
  </si>
  <si>
    <t>Муниципальные образования, полностью или частично расположенные на территориях с особыми правовыми режимами:</t>
  </si>
  <si>
    <t>5.2.1.*</t>
  </si>
  <si>
    <t>5.2.2.*</t>
  </si>
  <si>
    <t xml:space="preserve">5. </t>
  </si>
  <si>
    <t>8.</t>
  </si>
  <si>
    <t xml:space="preserve">    в т.ч. затронувшие населенные пункты</t>
  </si>
  <si>
    <t>6.1.1.</t>
  </si>
  <si>
    <t>6.2.5.*</t>
  </si>
  <si>
    <t>6.2.1.1.*</t>
  </si>
  <si>
    <t>6.2.1.2.*</t>
  </si>
  <si>
    <t>6.2.1.3.*</t>
  </si>
  <si>
    <t xml:space="preserve">6.2.1.4.* </t>
  </si>
  <si>
    <t>6.2.1.5.*</t>
  </si>
  <si>
    <t>6.2.1.6.*</t>
  </si>
  <si>
    <t xml:space="preserve">    объединения муниципальных образований, в т.ч.</t>
  </si>
  <si>
    <t xml:space="preserve">      простые объединения двух или нескольких муниципальных образований одного вида</t>
  </si>
  <si>
    <t xml:space="preserve">      объединения одного или нескольких поселений с существующим городским или муниципальным округом</t>
  </si>
  <si>
    <t xml:space="preserve">      объединения всех поселений муниципального района с существующим муниципальным или городским округом (с упразднением муниципального района)</t>
  </si>
  <si>
    <t xml:space="preserve">      объединения городских поселений с сельскими</t>
  </si>
  <si>
    <t xml:space="preserve">      объединения всех поселений муниципального района с созданием нового городского или муниципального округа</t>
  </si>
  <si>
    <t xml:space="preserve">   изменения статуса муниципального образования (наделение статусом либо лишение статуса)</t>
  </si>
  <si>
    <t>6.2.3.5.*</t>
  </si>
  <si>
    <t xml:space="preserve">      сельское поселение - городское поселение</t>
  </si>
  <si>
    <t xml:space="preserve">      городское поселение - сельское поселение</t>
  </si>
  <si>
    <t xml:space="preserve">     городской округ - муниципальный округ</t>
  </si>
  <si>
    <t xml:space="preserve">      муниципальный округ - городской округ</t>
  </si>
  <si>
    <t>6.2.3.6.*</t>
  </si>
  <si>
    <t>6.2.3.7.*</t>
  </si>
  <si>
    <t>6.2.3.8.*</t>
  </si>
  <si>
    <t>6.2.4.*</t>
  </si>
  <si>
    <t xml:space="preserve">    присоединение поселения (поселений) к внутригородскому округу с делением</t>
  </si>
  <si>
    <t xml:space="preserve">    выделение внутригородского района из городского округа с делением</t>
  </si>
  <si>
    <t>6.2.6.*</t>
  </si>
  <si>
    <t xml:space="preserve">    иные преобразования (в т.ч. комбинированные)</t>
  </si>
  <si>
    <t>Изменения, связанные с изменениями состава Российской Федерации и границ между ее субъектами</t>
  </si>
  <si>
    <t>6.</t>
  </si>
  <si>
    <t>7.</t>
  </si>
  <si>
    <t>Случаи отмены или приостановления действия любых изменений (в том числе произведенных в предыдущие годы)</t>
  </si>
  <si>
    <t>Случаи повторного введения в действие ранее отмененных или приостановленных изменений</t>
  </si>
  <si>
    <t>6.7.*</t>
  </si>
  <si>
    <t>10.3.3.*</t>
  </si>
  <si>
    <t>11.3.</t>
  </si>
  <si>
    <t>12.3.</t>
  </si>
  <si>
    <t xml:space="preserve">  8-10 депутатов</t>
  </si>
  <si>
    <t xml:space="preserve">13.6. </t>
  </si>
  <si>
    <t>13.7.1.</t>
  </si>
  <si>
    <t>13.7.2.</t>
  </si>
  <si>
    <t>13.7.3.</t>
  </si>
  <si>
    <t>13.7.4.</t>
  </si>
  <si>
    <t>13.8.1.</t>
  </si>
  <si>
    <t>Общая численность депутатского корпуса (с учетом двойного статуса депутатов, избранных методом делегирования)</t>
  </si>
  <si>
    <t>17.1.</t>
  </si>
  <si>
    <t>17.</t>
  </si>
  <si>
    <t>17.1.1.</t>
  </si>
  <si>
    <t>17.1.2.</t>
  </si>
  <si>
    <t>Муниципальные образования, в которых местные администрации не имеют статуса юридических лиц</t>
  </si>
  <si>
    <t xml:space="preserve">  в аппаратах контрольно-счетных органов муниципальных образований</t>
  </si>
  <si>
    <t>Число соответствующих муниципальных должностей, предусмотренных муниципальными правовыми актами</t>
  </si>
  <si>
    <t>Число соответствующих ставок, предполагающих работу на постоянной основе</t>
  </si>
  <si>
    <t>20.6.</t>
  </si>
  <si>
    <t>24.</t>
  </si>
  <si>
    <t>24.1.</t>
  </si>
  <si>
    <t>24.1.1.</t>
  </si>
  <si>
    <t>24.1.2.</t>
  </si>
  <si>
    <t>24.1.3.</t>
  </si>
  <si>
    <t>24.2.</t>
  </si>
  <si>
    <t>24.2.1.</t>
  </si>
  <si>
    <t>24.2.2.</t>
  </si>
  <si>
    <t>24.2.3.</t>
  </si>
  <si>
    <t>26.2.</t>
  </si>
  <si>
    <t>27.4.*</t>
  </si>
  <si>
    <t xml:space="preserve">28. </t>
  </si>
  <si>
    <t>28.1.*</t>
  </si>
  <si>
    <t>29.1.</t>
  </si>
  <si>
    <t xml:space="preserve">  по самообложению</t>
  </si>
  <si>
    <t xml:space="preserve">  демография</t>
  </si>
  <si>
    <t xml:space="preserve">  здравоохранение</t>
  </si>
  <si>
    <t xml:space="preserve">  образование</t>
  </si>
  <si>
    <t xml:space="preserve">  жилье и городская среда</t>
  </si>
  <si>
    <t xml:space="preserve">  экология</t>
  </si>
  <si>
    <t xml:space="preserve">  безопасные и качественные автомобильные дороги</t>
  </si>
  <si>
    <t xml:space="preserve">  производительность труда и поддержка занятости</t>
  </si>
  <si>
    <t xml:space="preserve">  наука</t>
  </si>
  <si>
    <t xml:space="preserve">  цифровая экономика</t>
  </si>
  <si>
    <t xml:space="preserve">  культура</t>
  </si>
  <si>
    <t xml:space="preserve">  малое и среднее предпринимательство и поддержка индивидуальной предпринимательской инициативы</t>
  </si>
  <si>
    <t xml:space="preserve">  международная кооперация и экспорт</t>
  </si>
  <si>
    <t>20.</t>
  </si>
  <si>
    <t>20.2.</t>
  </si>
  <si>
    <t>20.3.</t>
  </si>
  <si>
    <t>20.1.</t>
  </si>
  <si>
    <t xml:space="preserve">  учредителями муниципальных унитарных предприятий</t>
  </si>
  <si>
    <t>Количество всех муниципальных учреждений (включая органы местного самоуправления, имеющие статус юридических лиц)</t>
  </si>
  <si>
    <t>Сформированные и действующие общественные советы при органах местного самоуправления</t>
  </si>
  <si>
    <t>Сформированные и действующие общественные палаты (советы) муниципальных образований</t>
  </si>
  <si>
    <t xml:space="preserve">      объединения городских округов с муниципальными округами</t>
  </si>
  <si>
    <t>Муниципальные выборы, местные  референдумы и голосования</t>
  </si>
  <si>
    <t xml:space="preserve">  выборы депутатов (по мажоритарной системе)</t>
  </si>
  <si>
    <t xml:space="preserve">  выборы депутатов (по пропорциональной системе)</t>
  </si>
  <si>
    <t xml:space="preserve">  выборы депутатов (по смешанной системе)</t>
  </si>
  <si>
    <t>29.2.</t>
  </si>
  <si>
    <t xml:space="preserve">  представительных органов (сформированных новых составов)</t>
  </si>
  <si>
    <t xml:space="preserve">  депутатов представительных органов</t>
  </si>
  <si>
    <t>29.3.</t>
  </si>
  <si>
    <t>29.4.</t>
  </si>
  <si>
    <t xml:space="preserve">  повторные или дополнительные выборы депутатов по одному или нескольким округам (не всего состава)</t>
  </si>
  <si>
    <t xml:space="preserve">  от 10 001 до 20 000 жителей</t>
  </si>
  <si>
    <t>12.9.</t>
  </si>
  <si>
    <t>11.9.1.</t>
  </si>
  <si>
    <t>11.9.2.</t>
  </si>
  <si>
    <t>Главы муниципальных образований, избранные на свои должности (в последний раз):</t>
  </si>
  <si>
    <t xml:space="preserve">  первый срок </t>
  </si>
  <si>
    <t>13.4.1.*</t>
  </si>
  <si>
    <t>13.4.2.*</t>
  </si>
  <si>
    <t xml:space="preserve">  методом делегирования, в т.ч.</t>
  </si>
  <si>
    <t xml:space="preserve">    по равной норме представительства</t>
  </si>
  <si>
    <t xml:space="preserve">    с применением квот поселений (внутригородских районов)</t>
  </si>
  <si>
    <t>Представительные органы, избранные на муниципальных выборах, по году избрания в действующем составе:</t>
  </si>
  <si>
    <t>Общее число депутатских мандатов (как замещенных, так и не замещенных) в действующих представительных органах муниципальных образований</t>
  </si>
  <si>
    <t>14.9.</t>
  </si>
  <si>
    <t>14.10.</t>
  </si>
  <si>
    <t>11.7.1.</t>
  </si>
  <si>
    <t>11.7.2.</t>
  </si>
  <si>
    <t>11.7.4.</t>
  </si>
  <si>
    <t>11.7.5.</t>
  </si>
  <si>
    <t>Количество представительных органов муниципальных образований подлежащих формированию (избранию) в соответствии с законодательством</t>
  </si>
  <si>
    <t>Депутаты и депутатские мандаты в представительных органах муниципальных образований</t>
  </si>
  <si>
    <t>Представительные органы, формируемые по системе делегирования:</t>
  </si>
  <si>
    <t>13.8.</t>
  </si>
  <si>
    <t>13.9.1.</t>
  </si>
  <si>
    <t>Депутатские мандаты, подлежащие замещению в распущенных или еще не сформированных представительных органах</t>
  </si>
  <si>
    <t xml:space="preserve">  поселений, муниципальных и городских округов (кроме округов с внутригородским делением)</t>
  </si>
  <si>
    <t xml:space="preserve">  межселенных территорий</t>
  </si>
  <si>
    <t xml:space="preserve">  предусмотрено назначение сельских старост</t>
  </si>
  <si>
    <t>2.</t>
  </si>
  <si>
    <t>5.</t>
  </si>
  <si>
    <t xml:space="preserve">  внутригородских районов (в городских округах с делением) и внутригородских муниципальных образований (в городах федерального значения)</t>
  </si>
  <si>
    <t>Контакты (телефон с кодом города, факс, электронная почта)</t>
  </si>
  <si>
    <t>10.5.</t>
  </si>
  <si>
    <t>Муниципальные образования, в которых полностью или частично создана нормативная база для участия в национальных проектах (программах)</t>
  </si>
  <si>
    <t>10.5.1.</t>
  </si>
  <si>
    <t>10.5.2.</t>
  </si>
  <si>
    <t xml:space="preserve">  второй срок (подряд)</t>
  </si>
  <si>
    <t xml:space="preserve">  третий срок (подряд)</t>
  </si>
  <si>
    <t xml:space="preserve">  четвертый и последующие сроки (подряд)</t>
  </si>
  <si>
    <t xml:space="preserve">  новый срок после перерыва</t>
  </si>
  <si>
    <t>Установленный порядок избрания глав муниципальных образований в соответствии с федеральными законами и законами субъектов Российской Федерации:</t>
  </si>
  <si>
    <t xml:space="preserve">  в связи с увеличением численности населения муниципального образования более чем на 25 процентов при изменении его границ либо преобразовании</t>
  </si>
  <si>
    <t>25.1.</t>
  </si>
  <si>
    <t>Сайты органов местного самоуправления</t>
  </si>
  <si>
    <t xml:space="preserve">  полностью расположенные на островах (включая остров Сахалин)</t>
  </si>
  <si>
    <t xml:space="preserve">  7 депутатов</t>
  </si>
  <si>
    <t>Депутаты утративших статус и (или) преобразованных муниципальных образований, продолжающие работу до завершения переходного периода</t>
  </si>
  <si>
    <t>Представительные органы утративших статус и (или) преобразованных муниципальных образований, продолжающие работу до завершения переходного периода</t>
  </si>
  <si>
    <t>Количество муниципальных образований, на территории которых:</t>
  </si>
  <si>
    <t xml:space="preserve">  избраны (назначены) и действуют сельские старосты (не менее одного)</t>
  </si>
  <si>
    <t>Количество существующих муниципальных образований, имеющих заключенные с ТОС соглашения, предусматривающие использование бюджетных средств</t>
  </si>
  <si>
    <t>1.1.2.</t>
  </si>
  <si>
    <t>8.1.</t>
  </si>
  <si>
    <t xml:space="preserve">8.2.* </t>
  </si>
  <si>
    <t>8.3.</t>
  </si>
  <si>
    <t>8.3.1.</t>
  </si>
  <si>
    <t>8.3.2.</t>
  </si>
  <si>
    <t>8.3.3.</t>
  </si>
  <si>
    <t>8.3.4.</t>
  </si>
  <si>
    <t xml:space="preserve">8.4. </t>
  </si>
  <si>
    <t>9.2.</t>
  </si>
  <si>
    <t>9.3.1.*</t>
  </si>
  <si>
    <t>9.3.2.*</t>
  </si>
  <si>
    <t>9.3.4.*</t>
  </si>
  <si>
    <t xml:space="preserve">10. </t>
  </si>
  <si>
    <t>10.1.1.</t>
  </si>
  <si>
    <t>10.1.1.1.</t>
  </si>
  <si>
    <t>10.1.1.2.*</t>
  </si>
  <si>
    <t>10.1.2.</t>
  </si>
  <si>
    <t>10.1.2.1.</t>
  </si>
  <si>
    <t>10.1.3.</t>
  </si>
  <si>
    <t>10.1.3.1.</t>
  </si>
  <si>
    <t>10.1.3.2.</t>
  </si>
  <si>
    <t>10.1.3.3.</t>
  </si>
  <si>
    <t>10.1.4.*</t>
  </si>
  <si>
    <t>10.2.*</t>
  </si>
  <si>
    <t>10.2.1.*</t>
  </si>
  <si>
    <t>10.3.2*.</t>
  </si>
  <si>
    <t>10.4.*</t>
  </si>
  <si>
    <t xml:space="preserve">10.5.3. </t>
  </si>
  <si>
    <t>10.9.1.</t>
  </si>
  <si>
    <t>10.9.2.</t>
  </si>
  <si>
    <t>10.10.*</t>
  </si>
  <si>
    <t>11.</t>
  </si>
  <si>
    <t>11.1.*</t>
  </si>
  <si>
    <t>11.1.1.*</t>
  </si>
  <si>
    <t>11.1.1.1.*</t>
  </si>
  <si>
    <t>11.1.1.3.*</t>
  </si>
  <si>
    <t>11.1.1.4.*</t>
  </si>
  <si>
    <t>11.1.2.*</t>
  </si>
  <si>
    <t>11.1.2.1.*</t>
  </si>
  <si>
    <t>11.4.</t>
  </si>
  <si>
    <t>11.4.1.*</t>
  </si>
  <si>
    <t>11.4.1.1.*</t>
  </si>
  <si>
    <t>11.4.1.2.</t>
  </si>
  <si>
    <t>11.4.1.3.*</t>
  </si>
  <si>
    <t>11.4.2.*</t>
  </si>
  <si>
    <t>11.4.2.1.</t>
  </si>
  <si>
    <t>11.4.2.2.</t>
  </si>
  <si>
    <t xml:space="preserve">11.5. </t>
  </si>
  <si>
    <t xml:space="preserve">11.6. </t>
  </si>
  <si>
    <t>11.6.1.</t>
  </si>
  <si>
    <t>11.6.2.</t>
  </si>
  <si>
    <t>11.6.3.</t>
  </si>
  <si>
    <t xml:space="preserve">11.7. </t>
  </si>
  <si>
    <t>11.7.3.</t>
  </si>
  <si>
    <t>11.10.</t>
  </si>
  <si>
    <t>12.</t>
  </si>
  <si>
    <t xml:space="preserve">12.2. </t>
  </si>
  <si>
    <t>12.2.1.</t>
  </si>
  <si>
    <t>12.2.2.</t>
  </si>
  <si>
    <t>12.2.3.</t>
  </si>
  <si>
    <t>12.2.4.</t>
  </si>
  <si>
    <t>12.2.4.1.</t>
  </si>
  <si>
    <t>12.2.4.2.</t>
  </si>
  <si>
    <t>12.3.1.</t>
  </si>
  <si>
    <t>12.3.2.</t>
  </si>
  <si>
    <t>12.3.3.</t>
  </si>
  <si>
    <t>12.4.</t>
  </si>
  <si>
    <t>12.6.</t>
  </si>
  <si>
    <t>12.8.</t>
  </si>
  <si>
    <t xml:space="preserve">13. </t>
  </si>
  <si>
    <t>13.1.3.*</t>
  </si>
  <si>
    <t>13.1.4. *</t>
  </si>
  <si>
    <t>13.2.1.*</t>
  </si>
  <si>
    <t>13.2.2.*</t>
  </si>
  <si>
    <t>13.2.3.*</t>
  </si>
  <si>
    <t>13.2.4.*</t>
  </si>
  <si>
    <t>13.3.*</t>
  </si>
  <si>
    <t>13.4.*</t>
  </si>
  <si>
    <t>13.4.3.*</t>
  </si>
  <si>
    <t>13.4.4.*</t>
  </si>
  <si>
    <t>13.4.5.*</t>
  </si>
  <si>
    <t>13.4.6.*</t>
  </si>
  <si>
    <t>13.4.7.*</t>
  </si>
  <si>
    <t>13.4.8.*</t>
  </si>
  <si>
    <t>13.4.9.*</t>
  </si>
  <si>
    <t>13.5.*</t>
  </si>
  <si>
    <t>13.5.1.*</t>
  </si>
  <si>
    <t>13.5.2.*</t>
  </si>
  <si>
    <t>13.5.3.*</t>
  </si>
  <si>
    <t>13.5.4.*</t>
  </si>
  <si>
    <t>13.5.5.*</t>
  </si>
  <si>
    <t>13.5.6.*</t>
  </si>
  <si>
    <t>13.5.7.*</t>
  </si>
  <si>
    <t>13.5.8.*</t>
  </si>
  <si>
    <t>13.5.9.*</t>
  </si>
  <si>
    <t>13.9.</t>
  </si>
  <si>
    <t>14.1.1.*</t>
  </si>
  <si>
    <t>14.1.2.*</t>
  </si>
  <si>
    <t>14.6.*</t>
  </si>
  <si>
    <t>14.7.*</t>
  </si>
  <si>
    <t>15.</t>
  </si>
  <si>
    <t>15.1.</t>
  </si>
  <si>
    <t>15.1.1.</t>
  </si>
  <si>
    <t>15.1.2.</t>
  </si>
  <si>
    <t>15.2.</t>
  </si>
  <si>
    <t>15.3.</t>
  </si>
  <si>
    <t>15.3.1.</t>
  </si>
  <si>
    <t>16.</t>
  </si>
  <si>
    <t>16.2.</t>
  </si>
  <si>
    <t>16.4.</t>
  </si>
  <si>
    <t>16.5.</t>
  </si>
  <si>
    <t>16.6.</t>
  </si>
  <si>
    <t>16.8.*</t>
  </si>
  <si>
    <t>17.1.3.</t>
  </si>
  <si>
    <t>17.1.4.</t>
  </si>
  <si>
    <t>17.3.2.</t>
  </si>
  <si>
    <t>17.3.3.</t>
  </si>
  <si>
    <t>17.3.4.</t>
  </si>
  <si>
    <t>17.4.</t>
  </si>
  <si>
    <t xml:space="preserve">18.4. </t>
  </si>
  <si>
    <t>18.5.*</t>
  </si>
  <si>
    <t>Фактически работающие (без учета п. 18.6) должностные лица</t>
  </si>
  <si>
    <t xml:space="preserve">19. </t>
  </si>
  <si>
    <t>Фактически работающие (без учета п. 19.4)</t>
  </si>
  <si>
    <t>20.1.1.</t>
  </si>
  <si>
    <t>20.1.1.1.</t>
  </si>
  <si>
    <t>20.1.1.2.</t>
  </si>
  <si>
    <t>20.1.2.</t>
  </si>
  <si>
    <t>20.1.2.1.</t>
  </si>
  <si>
    <t>20.1.2.2.</t>
  </si>
  <si>
    <t>20.1.2.3.</t>
  </si>
  <si>
    <t>20.1.3.</t>
  </si>
  <si>
    <t xml:space="preserve">20.1.4. </t>
  </si>
  <si>
    <t>20.2.1.</t>
  </si>
  <si>
    <t>20.2.1.1.</t>
  </si>
  <si>
    <t>20.2.1.2.</t>
  </si>
  <si>
    <t>20.2.2.</t>
  </si>
  <si>
    <t>20.2.2.1.</t>
  </si>
  <si>
    <t>20.2.2.2.</t>
  </si>
  <si>
    <t>20.2.2.3.</t>
  </si>
  <si>
    <t>20.2.3.</t>
  </si>
  <si>
    <t xml:space="preserve">20.2.4. </t>
  </si>
  <si>
    <t>20.3.1.</t>
  </si>
  <si>
    <t>20.3.1.1.</t>
  </si>
  <si>
    <t>20.3.1.2.</t>
  </si>
  <si>
    <t>20.3.2.</t>
  </si>
  <si>
    <t>20.3.2.1.</t>
  </si>
  <si>
    <t>20.3.2.2.</t>
  </si>
  <si>
    <t>20.3.2.3.</t>
  </si>
  <si>
    <t>20.3.3.</t>
  </si>
  <si>
    <t xml:space="preserve">20.3.4. </t>
  </si>
  <si>
    <t>20.4.</t>
  </si>
  <si>
    <t>20.4.1.</t>
  </si>
  <si>
    <t>20.4.1.1.</t>
  </si>
  <si>
    <t>20.4.1.2.</t>
  </si>
  <si>
    <t>20.4.2.</t>
  </si>
  <si>
    <t>20.4.2.1.</t>
  </si>
  <si>
    <t>20.4.2.2.</t>
  </si>
  <si>
    <t>20.4.2.3.</t>
  </si>
  <si>
    <t>20.4.3.</t>
  </si>
  <si>
    <t xml:space="preserve">20.4.4. </t>
  </si>
  <si>
    <t>20.5.</t>
  </si>
  <si>
    <t>20.5.1.</t>
  </si>
  <si>
    <t>20.5.1.1.</t>
  </si>
  <si>
    <t>20.5.1.2.</t>
  </si>
  <si>
    <t>20.5.2.</t>
  </si>
  <si>
    <t>20.5.2.1.</t>
  </si>
  <si>
    <t>20.5.2.2.</t>
  </si>
  <si>
    <t>20.5.2.3.</t>
  </si>
  <si>
    <t>20.5.3.</t>
  </si>
  <si>
    <t xml:space="preserve">20.5.4. </t>
  </si>
  <si>
    <t>20.6.1.</t>
  </si>
  <si>
    <t>20.6.1.1.</t>
  </si>
  <si>
    <t>20.6.1.2.</t>
  </si>
  <si>
    <t>20.6.2.</t>
  </si>
  <si>
    <t>20.6.2.1.</t>
  </si>
  <si>
    <t>20.6.2.2.</t>
  </si>
  <si>
    <t>20.6.2.3.</t>
  </si>
  <si>
    <t>20.6.3.</t>
  </si>
  <si>
    <t xml:space="preserve">20.6.4. </t>
  </si>
  <si>
    <t xml:space="preserve">21. </t>
  </si>
  <si>
    <t>21.1.</t>
  </si>
  <si>
    <t>21.1.1.*</t>
  </si>
  <si>
    <t>21.1.2.*</t>
  </si>
  <si>
    <t>21.1.3.*</t>
  </si>
  <si>
    <t>21.1.4.*</t>
  </si>
  <si>
    <t>21.1.5.*</t>
  </si>
  <si>
    <t>21.1.6.*</t>
  </si>
  <si>
    <t>21.2.</t>
  </si>
  <si>
    <t>21.2.1.</t>
  </si>
  <si>
    <t>21.2.2.</t>
  </si>
  <si>
    <t>21.2.3.*</t>
  </si>
  <si>
    <t>21.2.4.*</t>
  </si>
  <si>
    <t>21.2.5.*</t>
  </si>
  <si>
    <t>21.2.6.*</t>
  </si>
  <si>
    <t>21.2.7.*</t>
  </si>
  <si>
    <t>21.2.8.*</t>
  </si>
  <si>
    <t>21.2.9.*</t>
  </si>
  <si>
    <t xml:space="preserve">21.2.10.* </t>
  </si>
  <si>
    <t>21.3.</t>
  </si>
  <si>
    <t>21.3.1.</t>
  </si>
  <si>
    <t>21.3.2.</t>
  </si>
  <si>
    <t>21.3.4.*</t>
  </si>
  <si>
    <t>21.3.5.*</t>
  </si>
  <si>
    <t>21.3.6.*</t>
  </si>
  <si>
    <t>21.3.7.*</t>
  </si>
  <si>
    <t>21.4.</t>
  </si>
  <si>
    <t>21.4.3.*</t>
  </si>
  <si>
    <t>21.3.3.*</t>
  </si>
  <si>
    <t>21.4.1.*</t>
  </si>
  <si>
    <t>21.4.2.*</t>
  </si>
  <si>
    <t>21.5.</t>
  </si>
  <si>
    <t>21.5.1.*</t>
  </si>
  <si>
    <t>21.5.2.*</t>
  </si>
  <si>
    <t>22.</t>
  </si>
  <si>
    <t>22.1.</t>
  </si>
  <si>
    <t>22.2.</t>
  </si>
  <si>
    <t>22.2.1.</t>
  </si>
  <si>
    <t>22.2.2.</t>
  </si>
  <si>
    <t>22.2.3.</t>
  </si>
  <si>
    <t>22.2.4.</t>
  </si>
  <si>
    <t>22.3.</t>
  </si>
  <si>
    <t>23.</t>
  </si>
  <si>
    <t>25.1.1.</t>
  </si>
  <si>
    <t>24.4.</t>
  </si>
  <si>
    <t>24.6.</t>
  </si>
  <si>
    <t>25.4.*</t>
  </si>
  <si>
    <t xml:space="preserve">26. </t>
  </si>
  <si>
    <t>26.1.*</t>
  </si>
  <si>
    <t>26.3.*</t>
  </si>
  <si>
    <t xml:space="preserve">26.4. </t>
  </si>
  <si>
    <t xml:space="preserve">27. </t>
  </si>
  <si>
    <t>27.1.2.</t>
  </si>
  <si>
    <t>27.1.3.</t>
  </si>
  <si>
    <t>27.1.4.</t>
  </si>
  <si>
    <t>27.1.5.</t>
  </si>
  <si>
    <t>27.2.</t>
  </si>
  <si>
    <t>27.2.1.</t>
  </si>
  <si>
    <t>27.2.2.</t>
  </si>
  <si>
    <t>27.2.3.</t>
  </si>
  <si>
    <t>27.3.</t>
  </si>
  <si>
    <t>27.3.1.*</t>
  </si>
  <si>
    <t>27.3.2.*</t>
  </si>
  <si>
    <t>27.5.*</t>
  </si>
  <si>
    <t>28.2.*</t>
  </si>
  <si>
    <t xml:space="preserve">28.3. </t>
  </si>
  <si>
    <t>28.3.1.</t>
  </si>
  <si>
    <t>28.3.2.</t>
  </si>
  <si>
    <t>28.3.3.</t>
  </si>
  <si>
    <t>28.3.5.</t>
  </si>
  <si>
    <t>29.</t>
  </si>
  <si>
    <t>29.5.*</t>
  </si>
  <si>
    <t xml:space="preserve">30.1. </t>
  </si>
  <si>
    <t>30.3.*</t>
  </si>
  <si>
    <t>32.1.</t>
  </si>
  <si>
    <t xml:space="preserve">32.2. </t>
  </si>
  <si>
    <t>32.4.1.</t>
  </si>
  <si>
    <t>32.4.2.</t>
  </si>
  <si>
    <t>32.4.3.</t>
  </si>
  <si>
    <t>32.5.</t>
  </si>
  <si>
    <t>32.5.1.</t>
  </si>
  <si>
    <t>32.5.2.</t>
  </si>
  <si>
    <t>32.5.3.</t>
  </si>
  <si>
    <t>32.7.</t>
  </si>
  <si>
    <t xml:space="preserve">33. </t>
  </si>
  <si>
    <t>33.1.1.</t>
  </si>
  <si>
    <t>33.1.2.</t>
  </si>
  <si>
    <t>33.1.3.</t>
  </si>
  <si>
    <t>33.2.1.</t>
  </si>
  <si>
    <t>33.2.2.</t>
  </si>
  <si>
    <t>33.2.3.</t>
  </si>
  <si>
    <t>33.3.1.</t>
  </si>
  <si>
    <t>33.3.2.</t>
  </si>
  <si>
    <t>33.3.3.</t>
  </si>
  <si>
    <t xml:space="preserve">  более 10 млрд рублей</t>
  </si>
  <si>
    <t>в.т.ч. столицы 
и администра-тивные центры субъектов Российской Федерации</t>
  </si>
  <si>
    <t>Городские округа 
с делением</t>
  </si>
  <si>
    <t xml:space="preserve">  от 101 до 1 000 жителей</t>
  </si>
  <si>
    <t xml:space="preserve">  от 1 001 до 10 000 жителей</t>
  </si>
  <si>
    <t>3.2.3.*</t>
  </si>
  <si>
    <t xml:space="preserve">  от 20 001 до 50 000 жителей</t>
  </si>
  <si>
    <t xml:space="preserve">  не менее 2/3 населения проживают в городских населенных пунктах</t>
  </si>
  <si>
    <t xml:space="preserve">  территории городских населенных пунктов составляют не менее 1/3 территории муниципального образования</t>
  </si>
  <si>
    <t xml:space="preserve">  плотность населения от 42,5 чел. на кв.км. 
(в 5 и более раз больше чем средняя по России)</t>
  </si>
  <si>
    <t xml:space="preserve">    на территориях опережающего социально-экономического развития (созданных Пр-вом РФ согл. ст. 3 Федерального закона от 29.12.2004 №473-ФЗ) </t>
  </si>
  <si>
    <t xml:space="preserve">    на территориях Арктической зоны (согласно ст.2 Федерального закона от 13 июля 2020 г. № 193-ФЗ)</t>
  </si>
  <si>
    <t xml:space="preserve">    на территориях традиционного природопользования (согл. Федеральному закону от 7 мая 2001 г. № 49-ФЗ)</t>
  </si>
  <si>
    <t xml:space="preserve">5.2. </t>
  </si>
  <si>
    <t>5.3.</t>
  </si>
  <si>
    <t xml:space="preserve">  наукограды (согл. Федеральному закону от 7 апреля 1999 г. № 70-ФЗ)</t>
  </si>
  <si>
    <t>Муниципальные образования с монопрофильной экономикой (моногорода) (согласно распоряжению Правительства РФ от 29 июля 2014 г. № 1398-р)</t>
  </si>
  <si>
    <t xml:space="preserve">    разделения муниципальных образований 
(с образованием на его месте двух или нескольких новых муниципальных образований)</t>
  </si>
  <si>
    <t xml:space="preserve">8.7. </t>
  </si>
  <si>
    <t>8.5.</t>
  </si>
  <si>
    <t xml:space="preserve">8.6. </t>
  </si>
  <si>
    <t>`</t>
  </si>
  <si>
    <t xml:space="preserve">  от 1 до 10 млн. рублей</t>
  </si>
  <si>
    <t xml:space="preserve">  от 10 до 100 млн. рублей</t>
  </si>
  <si>
    <t xml:space="preserve">  от 100 млн до 1 млрд рублей</t>
  </si>
  <si>
    <t xml:space="preserve">  от 1 до 10 млрд рублей</t>
  </si>
  <si>
    <t>9.3.3.</t>
  </si>
  <si>
    <t>9.3.5.*</t>
  </si>
  <si>
    <t xml:space="preserve">9.3.6.* </t>
  </si>
  <si>
    <t>9.4.</t>
  </si>
  <si>
    <t>9.4.1.</t>
  </si>
  <si>
    <t>9.4.2.</t>
  </si>
  <si>
    <t>9.4.3.</t>
  </si>
  <si>
    <t xml:space="preserve">9.5.* </t>
  </si>
  <si>
    <t xml:space="preserve">    по первичному воинскому учету (там, где нет военных комиссариатов) (ст. 8 Федерального закона 
от 28 марта 1998 г. № 53-ФЗ)</t>
  </si>
  <si>
    <t xml:space="preserve">  в т.ч. полномочия по распоряжению земельными участками, государственная собственность на которые не разграничена (ст. 3.3 Федерального закона от 25 октября 2001 г. № 137-ФЗ)</t>
  </si>
  <si>
    <t xml:space="preserve">    отдельные полномочия в административно-правовой сфере (включая создание административных комиссий и составление протоколов об административных правонарушениях, создание комиссий по делам несовершеннолетних и защите их прав и др.)</t>
  </si>
  <si>
    <t>10.1.3.1.1.</t>
  </si>
  <si>
    <t>Общая численность муниципальных образований:</t>
  </si>
  <si>
    <t xml:space="preserve">    по проведению Всероссийской переписи населения (Федеральный закон от 25 января 2002 г. № 8-ФЗ), Всероссийской сельскохозяйственной переписи (Федеральный закон от 21 июля 2005 г. № 108-ФЗ)</t>
  </si>
  <si>
    <t xml:space="preserve">    по регистрации актов гражданского состояния (Федеральный закон от 15 ноября 1997 г. № 143-ФЗ) </t>
  </si>
  <si>
    <t>10.1.2.2.</t>
  </si>
  <si>
    <t>10.1.2.3.*</t>
  </si>
  <si>
    <t xml:space="preserve">    по предоставлению социальных гарантий (обеспечение жильем, оплата жилищно-коммунальных услуг, компенсационные выплаты и др.) отдельным категориям граждан, в т.ч.:</t>
  </si>
  <si>
    <t>10.1.2.4.</t>
  </si>
  <si>
    <t xml:space="preserve">10.1.2.4.1. </t>
  </si>
  <si>
    <t xml:space="preserve">    гражданам, имеющим детей (согласно федеральным законам от 19 мая 1995 г. № 81-ФЗ, от 28 декабря 2017 г. № 418-ФЗ)</t>
  </si>
  <si>
    <t xml:space="preserve">10.1.2.4.2. </t>
  </si>
  <si>
    <t xml:space="preserve">10.1.2.4.3. </t>
  </si>
  <si>
    <t xml:space="preserve">10.1.2.4.4. </t>
  </si>
  <si>
    <t xml:space="preserve">    инвалидам (согласно Федеральному закону от 24 ноября 1995 г. № 181-ФЗ и ст. 17 Федерального закона от 25 апреля 2002 г. № 40-ФЗ)</t>
  </si>
  <si>
    <t>10.1.2.4.5.</t>
  </si>
  <si>
    <t xml:space="preserve">     пострадавшим вследствие Чернобыльской катастрофы (Закон РФ от 15 мая 1991 г. № 1244-1), аварии на ПО Маяк (от 26 ноября 1998 г. № 175-ФЗ ), а также испытаний на Семипалатинском полигоне (Федеральный закон от 10 января 2002 г. № 2-ФЗ)</t>
  </si>
  <si>
    <t xml:space="preserve">10.1.2.4.6. </t>
  </si>
  <si>
    <t xml:space="preserve">10.1.2.4.7. </t>
  </si>
  <si>
    <t xml:space="preserve">    при поствакцинальных осложнениях (согласно Федеральному закону от 17 сентября 1998 г. № 157-ФЗ)</t>
  </si>
  <si>
    <t xml:space="preserve">  только от муниципального района поселению (поселениям)</t>
  </si>
  <si>
    <t xml:space="preserve">  только от поселения (поселений) муниципальному району</t>
  </si>
  <si>
    <t xml:space="preserve">  от муниципального района поселению (поселениям) 
и от поселения (поселений) муниципальному району одновременно (в рамках одного соглашения)</t>
  </si>
  <si>
    <t>10.11.*</t>
  </si>
  <si>
    <t>10.12.</t>
  </si>
  <si>
    <t>10.12.12.</t>
  </si>
  <si>
    <t>10.12.1.</t>
  </si>
  <si>
    <t>10.12.2.</t>
  </si>
  <si>
    <t>10.12.3.</t>
  </si>
  <si>
    <t>10.12.4.</t>
  </si>
  <si>
    <t>10.12.5.</t>
  </si>
  <si>
    <t>10.12.6.</t>
  </si>
  <si>
    <t>10.12.7.</t>
  </si>
  <si>
    <t>10.12.8.</t>
  </si>
  <si>
    <t>10.12.9.</t>
  </si>
  <si>
    <t>10.12.10.</t>
  </si>
  <si>
    <t>10.12.11.</t>
  </si>
  <si>
    <t>10.6.</t>
  </si>
  <si>
    <t>10.8.</t>
  </si>
  <si>
    <t xml:space="preserve">   в т.ч. полномочий по утверждению и исполнению бюджета поселения</t>
  </si>
  <si>
    <t xml:space="preserve">  всех полномочий по решению вопросов местного значения поселений</t>
  </si>
  <si>
    <t>10.9.3.</t>
  </si>
  <si>
    <t xml:space="preserve">  11 и более полномочий по решению вопросов местного значения</t>
  </si>
  <si>
    <r>
      <t xml:space="preserve">Всего                 </t>
    </r>
    <r>
      <rPr>
        <b/>
        <sz val="9"/>
        <color theme="1"/>
        <rFont val="Calibri"/>
        <family val="2"/>
        <charset val="204"/>
        <scheme val="minor"/>
      </rPr>
      <t>(суммарно 
по всем муни-ципальным образованиям)</t>
    </r>
  </si>
  <si>
    <t xml:space="preserve">  11-20 депутатов</t>
  </si>
  <si>
    <t xml:space="preserve">  21-30 депутатов</t>
  </si>
  <si>
    <t xml:space="preserve">  31-50 депутатов</t>
  </si>
  <si>
    <t>11.7.6.*</t>
  </si>
  <si>
    <t xml:space="preserve">  51 и более депутатов</t>
  </si>
  <si>
    <t>11.8.6.*</t>
  </si>
  <si>
    <t xml:space="preserve">  7 или менее депутатов</t>
  </si>
  <si>
    <t xml:space="preserve">  51 или более депутатов</t>
  </si>
  <si>
    <t xml:space="preserve">11.8. </t>
  </si>
  <si>
    <t>11.8.1.</t>
  </si>
  <si>
    <t>11.8.2.</t>
  </si>
  <si>
    <t>11.8.3.</t>
  </si>
  <si>
    <t>11.8.4.</t>
  </si>
  <si>
    <t>11.8.5.</t>
  </si>
  <si>
    <t>11.9.</t>
  </si>
  <si>
    <t>11.10.3.*</t>
  </si>
  <si>
    <t xml:space="preserve">  в т.ч с участием депутатов (части или всего состава) в режиме видеоконференцсвязи</t>
  </si>
  <si>
    <t>Общее количество глав муниципальных образований 
(с поправкой на возможное совмещение статуса)</t>
  </si>
  <si>
    <t>Фактически работающие муниципальные служащие (без учета п. 17.4), в т.ч.</t>
  </si>
  <si>
    <t xml:space="preserve">  внутригородские муниципальные образования, в которых местные администрации не формируются  в соответствии с законами субъектов Российской Федерации - городов федерального значения</t>
  </si>
  <si>
    <t>Муниципальные образования, в которых местные администрации фактически не сформированы либо ликвидированы в том числе:</t>
  </si>
  <si>
    <t>14.2.1.*</t>
  </si>
  <si>
    <t>14.2.2.*</t>
  </si>
  <si>
    <t>14.2.</t>
  </si>
  <si>
    <t>14.4.</t>
  </si>
  <si>
    <t xml:space="preserve">14.3. </t>
  </si>
  <si>
    <t>14.3.1.</t>
  </si>
  <si>
    <t>14.3.2.</t>
  </si>
  <si>
    <t xml:space="preserve">14.5. </t>
  </si>
  <si>
    <t>14.8.*</t>
  </si>
  <si>
    <t>14.9.1.</t>
  </si>
  <si>
    <t>14.9.2.</t>
  </si>
  <si>
    <t>14.11.</t>
  </si>
  <si>
    <t>Работники органов местного самоуправления, не являющиеся депутатами, должностными лицами местного самоуправления либо муниципальными служащими (включая т.н."обслуживающий персонал")</t>
  </si>
  <si>
    <t xml:space="preserve">  выборы глав муниципальных образований 
(в т.ч. повторное голосование - т.н. "второй тур")</t>
  </si>
  <si>
    <t>Наименование органа власти субъекта Российской Федерации (структурного подразделения)</t>
  </si>
  <si>
    <t>Ф.И.О. ответственного исполнителя в субъекте Российской Федерации</t>
  </si>
  <si>
    <t>Ф.И.О. ответственного исполнителя в территориальном органе Минюста России</t>
  </si>
  <si>
    <t>Наименование территориального органа Минюста России (и его структурного подразделения)</t>
  </si>
  <si>
    <t>Контакты (служебный телефон с кодом города, личный телефон - по желанию исполнителя, электронная почта для оперативного обмена информацией)</t>
  </si>
  <si>
    <t xml:space="preserve">  по вопросам выдвижения, избрания и прекращения полномочий старост</t>
  </si>
  <si>
    <t>28.3.7.</t>
  </si>
  <si>
    <t>28.3.4.</t>
  </si>
  <si>
    <t xml:space="preserve">  по вопросам выдвижения и отбора инициативных проектов</t>
  </si>
  <si>
    <t xml:space="preserve">  по вопросам определения структуры органов местного самоуправления</t>
  </si>
  <si>
    <t xml:space="preserve">28.3.6. </t>
  </si>
  <si>
    <t>28.3.8.</t>
  </si>
  <si>
    <t xml:space="preserve">  по вопросам выдвижения кандидатур в конкурсные комиссии</t>
  </si>
  <si>
    <t>28.3.9.</t>
  </si>
  <si>
    <t>24.4.2.</t>
  </si>
  <si>
    <t>24.6.1.</t>
  </si>
  <si>
    <t>24.6.2.</t>
  </si>
  <si>
    <t>Число фактически работающих в муниципальных учреждениях (без учета занимающих должности, служащих и работающих в органах местного самоуправления)</t>
  </si>
  <si>
    <t>5.4.*</t>
  </si>
  <si>
    <t>5.3.7.*</t>
  </si>
  <si>
    <t>5.3.1.*</t>
  </si>
  <si>
    <t>5.3.2.*</t>
  </si>
  <si>
    <t>5.3.3.*</t>
  </si>
  <si>
    <t>5.3.4.*</t>
  </si>
  <si>
    <t>5.3.5.*</t>
  </si>
  <si>
    <t>5.3.6.*</t>
  </si>
  <si>
    <t>Муниципальные образования, имеющие двух- и многосторонние договоры о сотрудничестве с другими муниципальными образованиями (в пределах Российской Федерации):</t>
  </si>
  <si>
    <t>Общее число населенных пунктов 
(автоматический подсчет, не заполняется), в т.ч.</t>
  </si>
  <si>
    <t xml:space="preserve">  закрытые административно-территориальные образования (согл. Закону от 14 июля 1992 г. №3297-1)</t>
  </si>
  <si>
    <t xml:space="preserve">    на территориях инновационных научно-технологических центров (включая «Сколково») 
(согл. федеральным законам № 216-ФЗ и № 244-ФЗ)</t>
  </si>
  <si>
    <t xml:space="preserve">    в районах Крайнего Севера и приравненных к ним местностях с ограниченными сроками завоза (согл. пост-нию Правительства РФ от 23.05.2000 №402) </t>
  </si>
  <si>
    <t xml:space="preserve">  изменения границ муниципальных образований 
(в пределах субъекта РФ):</t>
  </si>
  <si>
    <t>Муниципальные образования, не имеющие действующих (принятых, зарегистрированных, опубликованных и вступивших в силу) уставов</t>
  </si>
  <si>
    <t>Муниципальные образования с действующими (принятыми, зарегистрированными, опубликованными и вступившими в силу) уставами</t>
  </si>
  <si>
    <t xml:space="preserve">     ветеранам (согласно Федеральному закону 
от 12 января 1995 г. № 5-ФЗ)</t>
  </si>
  <si>
    <t xml:space="preserve">    бывшим военнослужащим и членам их семей (согласно Федеральному закону от 27 мая 1998 г. №76-ФЗ)</t>
  </si>
  <si>
    <t xml:space="preserve">    отдельные полномочия в экономической и финансовой сфере</t>
  </si>
  <si>
    <t xml:space="preserve">  в соответствии с действующими уставами муниципальных образований:</t>
  </si>
  <si>
    <t>Главы муниципальных образований по сочетанию способа избрания и места в системе органов местного самоуправления (в соответствии с действующими уставами муниципальных образований):</t>
  </si>
  <si>
    <t>Количество муниципальных образований, подпадающих под критерии, установленные законом субъекта Российской Федерации в соответствии с п.2 резолютивной части постановления  Конституционного Суда Российской Федерации от 1 декабря 2015 г. 
№30-П (при наличии таких критериев)</t>
  </si>
  <si>
    <t>Муниципальные образования, в которых в соответствии с законодательством и уставами муниципальных образований местные администрации не должны формироваться, в том числе:</t>
  </si>
  <si>
    <t xml:space="preserve">  поселения - административные центры муниципальных районов,уставами которых предусмотрено возложение полномочий их администраций на администрации районов (в соотв. с ч.2 ст.34 Федерального закона №131-ФЗ)</t>
  </si>
  <si>
    <t xml:space="preserve">  поселения - административные центры муниципальных районов, полномочия администраций которых исполняются администрациями районов 
(в соотв. с ч.2 ст.34 Федерального закона №131-ФЗ)</t>
  </si>
  <si>
    <t xml:space="preserve">  внутригородские муниципальные образования, в которых местные администрации не сформированы  в соответствии с законами субъектов Российской Федерации - городов федерального значения</t>
  </si>
  <si>
    <t>Иные должностные лица местного самоуправления, не являющиеся депутатами, главами муниципальных образований, председателями, заместителями председателей и аудиторами контрольно-счетных органов либо муниципальными служащими 
(не учтенные в других разделах)</t>
  </si>
  <si>
    <t>Главы местных администраций, назначенные по конкурсу (без учета глав муниципальных образований, возглавляющих местные администрации по должности):</t>
  </si>
  <si>
    <t>Муниципальные образования, имеющие официальные сайты органов местного самоуправления (без учета поселений, имеющих только страницы на сайтах районов)</t>
  </si>
  <si>
    <t>Поселения, в которых в соотв. с ч.6 ст. 18 Градостроитель-ного кодекса РФ приняты решения об отсутствии необходимости разработки генеральных планов</t>
  </si>
  <si>
    <t xml:space="preserve">    донорам (согласно Федеральному закону от 20 июля 2012 г. № 125-ФЗ)</t>
  </si>
  <si>
    <t>Действующие депутаты представительных органов муниципальных образований, избранные на муниципальных выборах:</t>
  </si>
  <si>
    <t>Действующие депутаты представительных органов муниципальных образований, избранные по системе делегирования:</t>
  </si>
  <si>
    <t>Действующие главы муниципальных образований:</t>
  </si>
  <si>
    <t>Муниципальные образования, полностью или частично расположенные на федеральной территории (согл. Федеральному закону от 22 декабря 2020 г. № 437-ФЗ)</t>
  </si>
  <si>
    <t>Информация о развитии системы местного самоуправления по состоянию на 1 января 2023 г.</t>
  </si>
  <si>
    <t xml:space="preserve"> по состоянию на начало текущего годa 
(1 января 2023 г.)</t>
  </si>
  <si>
    <t xml:space="preserve"> по состоянию на начало предыдущего года 
(1 января 2022 г.)</t>
  </si>
  <si>
    <t xml:space="preserve">  включенных в государственный реестр муниципальных образований по состоянию на 1 января 2023 г.</t>
  </si>
  <si>
    <t xml:space="preserve">   на приграничных территориях (в пограничной зоне, определяемой ФСБ России согласно Закону №4730-1)</t>
  </si>
  <si>
    <t xml:space="preserve">    на территориях свободных портов (согласно ст.4 Федерального закона от 13 июля 2015 г. № 212-ФЗ)</t>
  </si>
  <si>
    <t>Муниципальные образования, в которых законами и муниципальными правовыми актами в 2022 г. было предусмотрено проведение оценки регулирующего воздействия отдельных проектов муниципальных правовых актов</t>
  </si>
  <si>
    <t>Муниципальные образования, в которых в 2022 г. осуществлялась оценка воздействия регулирующего воздействия отдельных проектов муниципальных правовых актов</t>
  </si>
  <si>
    <t>Муниципальные образования - участники бюджетного процесса в 2022 году</t>
  </si>
  <si>
    <t>Муниципальные образования, в которых были приняты местные бюджеты на 2022 год</t>
  </si>
  <si>
    <t>Муниципальные образования с доходами за 2022 год, закрепленными в местном бюджете:</t>
  </si>
  <si>
    <t>Муниципальные образования - субъекты бюджетных правоотношений, подпадавшие в 2022 г. под действие специальных норм статьи 136 Бюджетного кодекса Российской Федерации, в т.ч.:</t>
  </si>
  <si>
    <t>Муниципальные образования, в которых в 2022 г. вводилась или действовала введенная ранее временная финансовая администрация</t>
  </si>
  <si>
    <t>Сведения об осуществлении отдельных полномочий органами местного самоуправления муниципальных образований в 2022 финансовом году</t>
  </si>
  <si>
    <t xml:space="preserve">    по составлению списков кандидатов в присяжные заседатели (ст.4, ст.5 Федерального закона от 20 августа 2004 г. № 113-ФЗ)</t>
  </si>
  <si>
    <t xml:space="preserve">   по составлению списков кандидатов в присяжные заседатели (для городов федерального значения) (ст.5.1 Федерального закона от 20 августа 2004 г. №113-ФЗ)</t>
  </si>
  <si>
    <t>Муниципальные образования, органы местного самоуправления которых не осуществляли в 2022 году часть полномочий, изначально закрепленных за ними федеральными законами, в связи с их перераспре-делением (в соответствии с ч. 1.2 ст. 17 Федерального закона № 131-ФЗ и законом субъекта РФ)</t>
  </si>
  <si>
    <t>Муниципальные районы, часть полномочий которых осуществлялась в 2022 году поселениями согласно соглашениям между органами местного самоуправления</t>
  </si>
  <si>
    <t>Поселения, осуществлявшие в 2022 году часть полномочий муниципальных районов согласно соглашениям между органами местного самоуправления</t>
  </si>
  <si>
    <t>Муниципальные районы, осуществлявшие в 2022 году часть полномочий поселений согласно соглашениям между органами местного самоуправления</t>
  </si>
  <si>
    <t>Поселения, часть полномочий которых осуществлялась в 2022 году муниципальными районами согласно соглашениям между органами местного самоуправления</t>
  </si>
  <si>
    <t>Муниципальные образования, в которых было предусмотрено (возможно) совершение органами местного самоуправления нотариальных действий 
в 2022 году в случае отсутствия нотариуса</t>
  </si>
  <si>
    <t>Муниципальные образования, органы местного самоуправления которых принимали в 2022 г. организационное и финансовое участие в реализации национальных проектов (программ), а также региональных проектов, направленных на реализацию национальных проектов (программ) в т.ч. по направлениям:</t>
  </si>
  <si>
    <t>Количество заседаний представительных органов, проведенных в 2022 году</t>
  </si>
  <si>
    <t xml:space="preserve">  в составе списков кандидатов по пропорциональной системе (включая депутатов-списочников, избранных при применении смешанной системы)</t>
  </si>
  <si>
    <t xml:space="preserve">  по одномандатным и многомандатным округам (включая депутатов, избранных по округам при применении смешанной системы)</t>
  </si>
  <si>
    <t>11.9.3.*</t>
  </si>
  <si>
    <t>11.10.1.*</t>
  </si>
  <si>
    <t>11.10.2.*</t>
  </si>
  <si>
    <t>11.11.*</t>
  </si>
  <si>
    <t>11.12.</t>
  </si>
  <si>
    <t>11.12.1.</t>
  </si>
  <si>
    <t>Действующие главы, возглавляющие данное муниципальное образование (к началу 2023 г.):</t>
  </si>
  <si>
    <t>13.7.</t>
  </si>
  <si>
    <t>13.7.5.</t>
  </si>
  <si>
    <t>13.8.2.*</t>
  </si>
  <si>
    <t>13.9.2.</t>
  </si>
  <si>
    <t>13.9.3.</t>
  </si>
  <si>
    <t>13.10.*</t>
  </si>
  <si>
    <t>13.10.1.*</t>
  </si>
  <si>
    <t>13.10.2.*</t>
  </si>
  <si>
    <t>13.10.3.*</t>
  </si>
  <si>
    <t>13.11.</t>
  </si>
  <si>
    <t>13.12.*</t>
  </si>
  <si>
    <t>13.13.</t>
  </si>
  <si>
    <t>13.13.1.*</t>
  </si>
  <si>
    <t>13.13.2.*</t>
  </si>
  <si>
    <t>13.14.*</t>
  </si>
  <si>
    <t>Досрочное прекращение полномочий представительных органов муниципальных образований в 2022 году:</t>
  </si>
  <si>
    <t>Досрочное прекращение полномочий глав муниципальных образований в 2022 году:</t>
  </si>
  <si>
    <t>Досрочное прекращение в 2022 году полномочий глав местных администраций (не глав муниципальных образований), назначенных по контракту:</t>
  </si>
  <si>
    <t>Случаи отмены (пересмотра) в судебном порядке решений о досрочном прекращении полномочий органов и должностных лиц местного самоуправления в 2022 году:</t>
  </si>
  <si>
    <t>Случаи отстранения от исполнения должностных обязанностей в соответствии с уголовно-процессуальным законодательством в 2022 году:</t>
  </si>
  <si>
    <t>Число муниципальных образований, где собирались взносы (в порядке самообложения) в 2022 году</t>
  </si>
  <si>
    <t>Объем средств, собранных в 2022 году (рублей)</t>
  </si>
  <si>
    <t>Число муниципальных образований, где в 2022 году органами местного самоуправления рассматривались инициативные проекты (в т.ч. в рамках региональных и муниципальных программ поддержки местных инициатив)</t>
  </si>
  <si>
    <t>Объем инициативных платежей, собранных в 2022 году (рублей)</t>
  </si>
  <si>
    <t>Муниципальные выборы, проведенные в 2022 году, в т.ч.</t>
  </si>
  <si>
    <t>Количество избранных по итогам выборов в 2022 году (независимо от того, сохранили ли они свой статус впоследствии)</t>
  </si>
  <si>
    <t>Местные референдумы, проведенные в 2022 году, в т.ч.</t>
  </si>
  <si>
    <t>Голосования (избирателей) по вопросам изменения территориальной организации местного самоуправления, проведенные в 2022 г.</t>
  </si>
  <si>
    <t xml:space="preserve">Голосования (избирателей) по отзыву депутатов и должностных лиц местного самоуправления в 2022 г. </t>
  </si>
  <si>
    <t>Сходы граждан, проведенные в 2022 году в соотв. со ст. 25 и 25.1 Федерального закона № 131-ФЗ:</t>
  </si>
  <si>
    <t>Сходы граждан, проведенные в 2022 году поэтапно 
(в несколько этапов)</t>
  </si>
  <si>
    <t>Количество собраний граждан, проведенных в соответствии с законодательством о местном самоуправлении в 2022 году</t>
  </si>
  <si>
    <t>Количество конференций граждан (делегатов) в 2022 году</t>
  </si>
  <si>
    <t>Количество публичных слушаний в 2022 году</t>
  </si>
  <si>
    <t>Количество общественных обсуждений в 2022 году</t>
  </si>
  <si>
    <t>Количество опросов граждан, проведенных в соответствии срешениями органов местного самоуправления в 2022 году</t>
  </si>
  <si>
    <t>Инициативы, внесенные в 2022 году</t>
  </si>
  <si>
    <t>Инициативы, рассмотренные в 2022 году</t>
  </si>
  <si>
    <t>Инициативы, реализованные в виде принятых правовых актов или поправок к ним в 2022 году</t>
  </si>
  <si>
    <t>Количество муниципальных образований - участников бюджетного процесса, предоставлявших субсидии и (или) гранты ТОСам в 2022 г.</t>
  </si>
  <si>
    <t xml:space="preserve">  сельские старосты получали в 2022 г. средства на компенсацию расходов из бюджетов</t>
  </si>
  <si>
    <t>Количество сельских старост, получавших в 2022 г. средства на компенсацию расходов из бюджетов и работающих в сельских населенных пунктах в границах:</t>
  </si>
  <si>
    <t>Количество муниципальных учреждений (без учета органов местного самоуправления, учтенных в п.16), в т.ч.:</t>
  </si>
  <si>
    <t xml:space="preserve">  в сфере жилищно-коммунального хозяйства</t>
  </si>
  <si>
    <t xml:space="preserve">  в сфере образования</t>
  </si>
  <si>
    <t xml:space="preserve">  в сфере культуры</t>
  </si>
  <si>
    <t>24.6.3.</t>
  </si>
  <si>
    <t>24.6.4.</t>
  </si>
  <si>
    <t>24.7.</t>
  </si>
  <si>
    <t>24.8.</t>
  </si>
  <si>
    <t xml:space="preserve">  в сфере физкультуры и спорта</t>
  </si>
  <si>
    <t>24.6.5.</t>
  </si>
  <si>
    <t>24.6.6.</t>
  </si>
  <si>
    <t>34.</t>
  </si>
  <si>
    <t>34.1</t>
  </si>
  <si>
    <t>34.1.1.</t>
  </si>
  <si>
    <t>34.1.1.1.</t>
  </si>
  <si>
    <t>34.1.1.2.</t>
  </si>
  <si>
    <t>Проверки органов местного самоуправления и запросы контрольно-надзорных органов</t>
  </si>
  <si>
    <t>Количество запросов контрольно-надзорных органов в органы местного самоуправления</t>
  </si>
  <si>
    <t xml:space="preserve">  в 2021 году</t>
  </si>
  <si>
    <t xml:space="preserve">  в 2022 году</t>
  </si>
  <si>
    <t>Меры прокурорского реагирования</t>
  </si>
  <si>
    <t>Количество протестов (представлений) прокуратуры, вынесенных в отношении органов местного самоуправления</t>
  </si>
  <si>
    <t>Количество протестов (представлений) прокуратуры, отклоненных органами местного самоуправления</t>
  </si>
  <si>
    <t>Количество обращений прокурора в защиту интересов органов местного самоуправления</t>
  </si>
  <si>
    <t>34.3.</t>
  </si>
  <si>
    <t>Нормотворческая инициатива прокурора</t>
  </si>
  <si>
    <t>Количество муниципальных образований, предоставивших право нормотворческой инициативы прокурору</t>
  </si>
  <si>
    <t>34.5.1.</t>
  </si>
  <si>
    <t>34.5.2.</t>
  </si>
  <si>
    <t>34.5.</t>
  </si>
  <si>
    <t>34.1.2.</t>
  </si>
  <si>
    <t>34.1.2.1.</t>
  </si>
  <si>
    <t>34.1.2.2.</t>
  </si>
  <si>
    <t>34.1.3.</t>
  </si>
  <si>
    <t>34.1.3.1.</t>
  </si>
  <si>
    <t>34.1.3.2.</t>
  </si>
  <si>
    <t>34.1.4.</t>
  </si>
  <si>
    <t>34.1.4.1.</t>
  </si>
  <si>
    <t>34.1.4.2.</t>
  </si>
  <si>
    <t>34.2.</t>
  </si>
  <si>
    <t>34.2.1.</t>
  </si>
  <si>
    <t>34.2.2.</t>
  </si>
  <si>
    <t>34.2.3.</t>
  </si>
  <si>
    <t>34.3.1.</t>
  </si>
  <si>
    <t>34.3.2.</t>
  </si>
  <si>
    <t>34.4.</t>
  </si>
  <si>
    <t xml:space="preserve">    в т.ч. переданные муниципальным районам и городским округам с внутригородским делением полномочия по выравниванию бюджетной обеспеченности поселений и внутригородских районов</t>
  </si>
  <si>
    <t xml:space="preserve">  федеральные полномочия, делегированные субъектам Российской Федерации в соответствии с Федеральным законом от 21 декабря 2021 г. № 414-ФЗ (и обеспеченные субвенциями из федерального бюджета), а затем переданные ими (в порядке "субделегирования") органам местного самоуправления согласно ст. 19 Федерального закона от 6 октября 2003 г. № 131-ФЗ (хотя бы одно из нижеперечисленных), в т.ч.:</t>
  </si>
  <si>
    <t>Число ставок согласно штатному расписанию муниципальных учреждений (без учета ставок в органах местного самоуправления) в т.ч.:</t>
  </si>
  <si>
    <t>24.8.1.</t>
  </si>
  <si>
    <t>24.8.2.</t>
  </si>
  <si>
    <t>24.8.3.</t>
  </si>
  <si>
    <t>24.8.4.</t>
  </si>
  <si>
    <t>24.8.5.</t>
  </si>
  <si>
    <t>24.8.6.</t>
  </si>
  <si>
    <t xml:space="preserve">  в 2022 г.</t>
  </si>
  <si>
    <t>Сельские поселения, за которыми в течение 2022 г. были закреплены дополнительные (сверх гарантированного статьей 14 Федерального закона № 131-ФЗ минимума) полномочия по решению вопросов местного значения, в т.ч.:</t>
  </si>
  <si>
    <t xml:space="preserve">  в иных сферах</t>
  </si>
  <si>
    <t>24.6.7.</t>
  </si>
  <si>
    <t>24.8.7.</t>
  </si>
  <si>
    <t>35.</t>
  </si>
  <si>
    <t>35.1.*</t>
  </si>
  <si>
    <t>35.2.*</t>
  </si>
  <si>
    <t>Региональные конкурсы, премии, награды</t>
  </si>
  <si>
    <t>Наличие ежегодных   премий, конкурсов, проводимых на региональном уровне для муниципальных образований на лучшие проекты, объекты благоустройства, управленческие команды</t>
  </si>
  <si>
    <t>23.3.</t>
  </si>
  <si>
    <t>26.5.</t>
  </si>
  <si>
    <t>Самообложение, инициативные проекты и инициативное бюджетирование</t>
  </si>
  <si>
    <t>Официальные сайты органов местного самоуправления и аккаунты глав муниципальных образований в социальных сетях</t>
  </si>
  <si>
    <t>23.3.1.</t>
  </si>
  <si>
    <t>23.3.2.</t>
  </si>
  <si>
    <t>23.3.3.</t>
  </si>
  <si>
    <t>23.3.4.</t>
  </si>
  <si>
    <t>23.3.5.</t>
  </si>
  <si>
    <t xml:space="preserve">  до 100 подписчиков</t>
  </si>
  <si>
    <t xml:space="preserve">  101-500 подписчиков</t>
  </si>
  <si>
    <t xml:space="preserve">  501-1000 подписчиков</t>
  </si>
  <si>
    <t xml:space="preserve">  1001-5000 подписчиков</t>
  </si>
  <si>
    <t xml:space="preserve">  более 5000 подписчиков</t>
  </si>
  <si>
    <t>Аккаунты глав муниципальных образований в социальных сетях, телеграмм-каналы</t>
  </si>
  <si>
    <t>22.2.3.1.</t>
  </si>
  <si>
    <t>22.2.3.2.</t>
  </si>
  <si>
    <t>22.2.3.3.</t>
  </si>
  <si>
    <t>22.2.3.4.</t>
  </si>
  <si>
    <t>22.2.3.5.</t>
  </si>
  <si>
    <t xml:space="preserve">    до 100 подписчиков</t>
  </si>
  <si>
    <t xml:space="preserve">    101-500 подписчиков</t>
  </si>
  <si>
    <t xml:space="preserve">    501-1000 подписчиков</t>
  </si>
  <si>
    <t xml:space="preserve">    1001-5000 подписчиков</t>
  </si>
  <si>
    <t xml:space="preserve">    более 5000 подписчиков</t>
  </si>
  <si>
    <t xml:space="preserve">    до 1000 экземпляров</t>
  </si>
  <si>
    <t xml:space="preserve">    1001-5000 экземпляров</t>
  </si>
  <si>
    <t xml:space="preserve">    более 5000 экземпляров</t>
  </si>
  <si>
    <t>22.2.1.1.</t>
  </si>
  <si>
    <t>22.2.1.2.</t>
  </si>
  <si>
    <t>22.2.1.3.</t>
  </si>
  <si>
    <t>22.2.2.1.</t>
  </si>
  <si>
    <t>22.2.2.2.</t>
  </si>
  <si>
    <t>22.2.2.3.</t>
  </si>
  <si>
    <t xml:space="preserve">    до 1000 зрителей (слушателей)</t>
  </si>
  <si>
    <t xml:space="preserve">    1001-5000 зрителей (слушателей)</t>
  </si>
  <si>
    <t xml:space="preserve">    более 5000 зрителей (слушателей)</t>
  </si>
  <si>
    <t xml:space="preserve">  в сфере строительства</t>
  </si>
  <si>
    <t xml:space="preserve">  в сфере транспорта</t>
  </si>
  <si>
    <t>24.6.8.</t>
  </si>
  <si>
    <t>24.6.9.</t>
  </si>
  <si>
    <t xml:space="preserve">  в сфере социальной защиты и занятости населения (при реализации муниципальным образованием государственных полномочий)</t>
  </si>
  <si>
    <t xml:space="preserve">  в сфере здравоохранения  (при реализации муниципальным образованием государственных полномочий)</t>
  </si>
  <si>
    <t>24.8.8.</t>
  </si>
  <si>
    <t>24.8.9.</t>
  </si>
  <si>
    <t>Количество муниципальных унитарных предприятий, в т.ч.:</t>
  </si>
  <si>
    <t>Число ставок согласно штатному расписанию МУПов, в т.ч.:</t>
  </si>
  <si>
    <t>Фактическое число работников в МУПов, в т.ч.:</t>
  </si>
  <si>
    <t>Количество хозяйственных обществ, в которых участниками являюстя муниципальные образования (в т.ч. опосредованно - через органы местного самоуправления), в т.ч.:</t>
  </si>
  <si>
    <t>Число фактически работающих в хозяйственных обществах, в которых участниками являюстя муниципальные образования (в т.ч. опосредованно - через органы местного самоуправления), в т.ч.:</t>
  </si>
  <si>
    <t>24.4.1.</t>
  </si>
  <si>
    <t>24.4.3.</t>
  </si>
  <si>
    <t>24.4.4.</t>
  </si>
  <si>
    <t>24.4.5.</t>
  </si>
  <si>
    <t>24.4.6.</t>
  </si>
  <si>
    <t>24.4.7.</t>
  </si>
  <si>
    <t>24.4.8.</t>
  </si>
  <si>
    <t>24.4.9.</t>
  </si>
  <si>
    <t xml:space="preserve">24.5. </t>
  </si>
  <si>
    <t>24.5.1.</t>
  </si>
  <si>
    <t>24.5.2.</t>
  </si>
  <si>
    <t>24.5.3.</t>
  </si>
  <si>
    <t>24.5.4.</t>
  </si>
  <si>
    <t>24.5.5.</t>
  </si>
  <si>
    <t>24.5.6.</t>
  </si>
  <si>
    <t>24.5.7.</t>
  </si>
  <si>
    <t>24.5.8.</t>
  </si>
  <si>
    <t>24.5.9.</t>
  </si>
  <si>
    <t>24.9.</t>
  </si>
  <si>
    <t>24.9.1.</t>
  </si>
  <si>
    <t>24.9.2.</t>
  </si>
  <si>
    <t>24.9.3.</t>
  </si>
  <si>
    <t>24.9.4.</t>
  </si>
  <si>
    <t>24.9.5.</t>
  </si>
  <si>
    <t>24.9.6.</t>
  </si>
  <si>
    <t>24.9.7.</t>
  </si>
  <si>
    <t>24.9.8.</t>
  </si>
  <si>
    <t>24.9.9.</t>
  </si>
  <si>
    <t>24.10.</t>
  </si>
  <si>
    <t>24.10.1.</t>
  </si>
  <si>
    <t>24.10.2.</t>
  </si>
  <si>
    <t>24.10.3.</t>
  </si>
  <si>
    <t>24.10.4.</t>
  </si>
  <si>
    <t>24.10.5.</t>
  </si>
  <si>
    <t>24.10.6.</t>
  </si>
  <si>
    <t>24.10.7.</t>
  </si>
  <si>
    <t>24.10.8.</t>
  </si>
  <si>
    <t>24.10.9.</t>
  </si>
  <si>
    <t>24.11.</t>
  </si>
  <si>
    <t>24.11.1.</t>
  </si>
  <si>
    <t>24.11.2.</t>
  </si>
  <si>
    <t>24.11.3.</t>
  </si>
  <si>
    <t>24.11.4.</t>
  </si>
  <si>
    <t>24.11.5.</t>
  </si>
  <si>
    <t>24.11.6.</t>
  </si>
  <si>
    <t>24.11.7.</t>
  </si>
  <si>
    <t>24.11.8.</t>
  </si>
  <si>
    <t>24.11.9.</t>
  </si>
  <si>
    <t>24.12.</t>
  </si>
  <si>
    <t>24.12.1.</t>
  </si>
  <si>
    <t>24.12.2.</t>
  </si>
  <si>
    <t>24.12.3.</t>
  </si>
  <si>
    <t>24.12.4.</t>
  </si>
  <si>
    <t>24.12.5.</t>
  </si>
  <si>
    <t>24.12.6.</t>
  </si>
  <si>
    <t>24.12.7.</t>
  </si>
  <si>
    <t>24.12.8.</t>
  </si>
  <si>
    <t>24.12.9.</t>
  </si>
  <si>
    <t>24.13.</t>
  </si>
  <si>
    <t>24.13.1.</t>
  </si>
  <si>
    <t>24.13.2.</t>
  </si>
  <si>
    <t>24.13.3.</t>
  </si>
  <si>
    <t>24.13.4.</t>
  </si>
  <si>
    <t>24.13.5.</t>
  </si>
  <si>
    <t>24.13.6.</t>
  </si>
  <si>
    <t>24.13.7.</t>
  </si>
  <si>
    <t>24.13.8.</t>
  </si>
  <si>
    <t>24.13.9.</t>
  </si>
  <si>
    <t>24.14.</t>
  </si>
  <si>
    <t>24.14.1.</t>
  </si>
  <si>
    <t>24.14.2.</t>
  </si>
  <si>
    <t>24.14.3.</t>
  </si>
  <si>
    <t>24.14.4.</t>
  </si>
  <si>
    <t>24.14.5.</t>
  </si>
  <si>
    <t>24.14.6.</t>
  </si>
  <si>
    <t>24.14.7.</t>
  </si>
  <si>
    <t>24.14.8.</t>
  </si>
  <si>
    <t>24.14.9.</t>
  </si>
  <si>
    <t>Количество реализованных инициативных проектов в 2022 году</t>
  </si>
  <si>
    <t>34.1.1.3.</t>
  </si>
  <si>
    <t>34.1.1.4.</t>
  </si>
  <si>
    <t xml:space="preserve">  в 2019 году</t>
  </si>
  <si>
    <t xml:space="preserve">  в 2020 году</t>
  </si>
  <si>
    <t>34.1.2.3.</t>
  </si>
  <si>
    <t>34.1.2.4.</t>
  </si>
  <si>
    <t>34.1.3.4.</t>
  </si>
  <si>
    <t>34.1.4.3.</t>
  </si>
  <si>
    <t>34.1.4.4.</t>
  </si>
  <si>
    <t>34.5.3.</t>
  </si>
  <si>
    <t>34.5.4.</t>
  </si>
  <si>
    <t>3.2.9.*</t>
  </si>
  <si>
    <t>3.2.10.*</t>
  </si>
  <si>
    <t xml:space="preserve">  от 100 001 до 250 000 жителей</t>
  </si>
  <si>
    <t xml:space="preserve">  от 250 001 до 500 000 жителей</t>
  </si>
  <si>
    <t xml:space="preserve">  от 500 001 до 1 млн жителей</t>
  </si>
  <si>
    <t>25.5.*</t>
  </si>
  <si>
    <t>Наличие отраслевых наград, поощрений, вручаемых на региональном уровне за развитие местного самоуправления</t>
  </si>
  <si>
    <t>11.5.2.</t>
  </si>
  <si>
    <t>Муниципальные СМИ, зарегистрированные в соответствии с законодательством о СМИ, учредителями (соучредителями) которых являются муниципальные образования:</t>
  </si>
  <si>
    <t>22.4.</t>
  </si>
  <si>
    <t>22.5.</t>
  </si>
  <si>
    <t>22.4.5.</t>
  </si>
  <si>
    <t>22.4.4.5.</t>
  </si>
  <si>
    <t>22.4.4.4.</t>
  </si>
  <si>
    <t>22.4.4.3.</t>
  </si>
  <si>
    <t>22.4.4.2.</t>
  </si>
  <si>
    <t>22.4.4.1.</t>
  </si>
  <si>
    <t>22.4.4.</t>
  </si>
  <si>
    <t>22.4.3.5.</t>
  </si>
  <si>
    <t>22.4.3.4.</t>
  </si>
  <si>
    <t>22.4.3.3.</t>
  </si>
  <si>
    <t>22.4.3.2.</t>
  </si>
  <si>
    <t>22.4.3.1.</t>
  </si>
  <si>
    <t>22.4.3.</t>
  </si>
  <si>
    <t>22.4.2.3.</t>
  </si>
  <si>
    <t>22.4.2.2.</t>
  </si>
  <si>
    <t>22.4.2.1.</t>
  </si>
  <si>
    <t>22.4.2.</t>
  </si>
  <si>
    <t>22.4.1.</t>
  </si>
  <si>
    <t>22.4.1.1.</t>
  </si>
  <si>
    <t>22.4.1.2.</t>
  </si>
  <si>
    <t>22.4.1.3.</t>
  </si>
  <si>
    <t>Число советов муниципальных образований созданных в субъекте Российской Федерации</t>
  </si>
  <si>
    <t xml:space="preserve">  периодические печатные издания с тиражом:</t>
  </si>
  <si>
    <t xml:space="preserve">  теле- и радиоканалы и программы с охватом аудитории:</t>
  </si>
  <si>
    <t xml:space="preserve">  сетевые издания, имеющие:</t>
  </si>
  <si>
    <t>телеграмм-каналы, имеющие:</t>
  </si>
  <si>
    <t xml:space="preserve">  иные формы СМИ</t>
  </si>
  <si>
    <t xml:space="preserve">  наличие исполнительного органа в советах муниципальных образований созданных в субъекте Российской Федерации осуществляющего организационное обеспечение деятельности</t>
  </si>
  <si>
    <t>25.1.2.</t>
  </si>
  <si>
    <t>25.1.3.</t>
  </si>
  <si>
    <t>25.2.</t>
  </si>
  <si>
    <t>25.2.1.</t>
  </si>
  <si>
    <t>25.2.2.*</t>
  </si>
  <si>
    <t>25.2.3.*</t>
  </si>
  <si>
    <t xml:space="preserve">25.3. </t>
  </si>
  <si>
    <t>25.6.</t>
  </si>
  <si>
    <t>Объем финансирования из бюджетов муниципальных образований межмуниципальных организаций (включая членские взносы) (рублей)</t>
  </si>
  <si>
    <t xml:space="preserve">13.15. </t>
  </si>
  <si>
    <t>13.16.</t>
  </si>
  <si>
    <t>Число ставок заместителей главы муниципального образования согласно штатному расписанию</t>
  </si>
  <si>
    <t>Фактическое число заместителей главы муниципального образования</t>
  </si>
  <si>
    <t>34.1.5.</t>
  </si>
  <si>
    <t>34.1.5.1.</t>
  </si>
  <si>
    <t>34.1.5.2.</t>
  </si>
  <si>
    <t>34.1.5.3.</t>
  </si>
  <si>
    <t>34.1.5.4.</t>
  </si>
  <si>
    <t>34.6.</t>
  </si>
  <si>
    <t>34.7.</t>
  </si>
  <si>
    <t>34.7.1.</t>
  </si>
  <si>
    <t>34.7.2.</t>
  </si>
  <si>
    <t>34.7.3.</t>
  </si>
  <si>
    <t>34.8.</t>
  </si>
  <si>
    <t>34.8.1.</t>
  </si>
  <si>
    <t>34.8.2.</t>
  </si>
  <si>
    <t>Общая сумма задолженности муниципальных образований по судебным решениям, вынесенным в отношении переданных органам местного самоуправления отдельных государственных полномочий субъектов Российской Федерации (рублей)</t>
  </si>
  <si>
    <t>Общая сумма начисленного в 2022 году органам местного самоуправления судебными приставами-исполнителями исполнительского сбора (рублей)</t>
  </si>
  <si>
    <t>Количество административных дел, возбужденных в отношении органов местного самоуправления, прекращенных производством на основании части 4 статьи 24.5 КоАП РФ</t>
  </si>
  <si>
    <t>Общая сумма административных штрафов выплаченных органами местного самоуправления за счет средств бюджетов муниципальных образований за невыполнение органами местного самоуправления в срок предписаний контрольно-надзорных органов (рублей)</t>
  </si>
  <si>
    <t>Общая сумма штрафов по решениям контрольно-надзорных органов выплаченных органами местного самоуправления за счет средств бюджетов муниципальных образований (рублей)</t>
  </si>
  <si>
    <t>34.1.3.3.</t>
  </si>
  <si>
    <t>34.1.6.</t>
  </si>
  <si>
    <t>34.1.6.1.</t>
  </si>
  <si>
    <t>34.1.6.2.</t>
  </si>
  <si>
    <t>34.1.6.3.</t>
  </si>
  <si>
    <t>34.1.6.4.</t>
  </si>
  <si>
    <t>34.1.7.</t>
  </si>
  <si>
    <t>34.1.7.1.</t>
  </si>
  <si>
    <t>34.1.7.2.</t>
  </si>
  <si>
    <t>34.1.7.3.</t>
  </si>
  <si>
    <t>34.1.7.4.</t>
  </si>
  <si>
    <t>34.1.8.</t>
  </si>
  <si>
    <t>34.1.8.1.</t>
  </si>
  <si>
    <t>34.1.8.2.</t>
  </si>
  <si>
    <t>34.1.8.3.</t>
  </si>
  <si>
    <t>34.1.8.4.</t>
  </si>
  <si>
    <t>Общее количество денежных средств, необходимых для исполнения судебных решений, вынесенных в отношении органов местного самоуправления (рублей)</t>
  </si>
  <si>
    <t xml:space="preserve">  ранее 2019 г.</t>
  </si>
  <si>
    <t xml:space="preserve">  в 2020 - 2021 гг.</t>
  </si>
  <si>
    <t>11.5.3.</t>
  </si>
  <si>
    <t>13.6.3.</t>
  </si>
  <si>
    <t>Количество некоммерческих организаций (кроме муниципальных учреждений, но с учетом советов муниципальных образований субъектов Российской Федерации), в которых участниками являюстя муниципальные образования (в т.ч. опосредованно - через органы местного самоуправления), в т.ч.:</t>
  </si>
  <si>
    <t>Число фактически работающих в некоммерческих организациях (кроме муниципальных учреждений, но с учетом советов муниципальных образований субъектов Российской Федерации), в которых участниками являюстя муниципальные образования (в т.ч. опосредованно - через органы местного самоуправления), в т.ч.:</t>
  </si>
  <si>
    <t xml:space="preserve">  наличие сайтов советов муниципальных образований</t>
  </si>
  <si>
    <t xml:space="preserve">  наличие периодических печатных изданий советов муниципальных образований</t>
  </si>
  <si>
    <t>Взаимодействие органов местного самоуправления с контрольно-надзорными органами и судебная практика</t>
  </si>
  <si>
    <t>Общее количество проведенных (завершенных) проверок органов местного самоуправления контрольно-надзорными органами</t>
  </si>
  <si>
    <t>Количество заявленных нормотворческих инициатив со стороны органов прокуратуры</t>
  </si>
  <si>
    <t>Общее количество судебных решений, вынесенных в отношении переданных органам местного самоуправления отдельных государственных полномочий субъектов Российской Федерации</t>
  </si>
  <si>
    <t>34.2.4.</t>
  </si>
  <si>
    <t>34.3.3.</t>
  </si>
  <si>
    <t>34.3.4.</t>
  </si>
  <si>
    <t>34.6.1.</t>
  </si>
  <si>
    <t>34.6.2.</t>
  </si>
  <si>
    <t>34.6.3.</t>
  </si>
  <si>
    <t>34.6.4.</t>
  </si>
  <si>
    <t>34.7.1.1.</t>
  </si>
  <si>
    <t>34.7.1.2.</t>
  </si>
  <si>
    <t>34.7.1.3.</t>
  </si>
  <si>
    <t>34.7.1.4.</t>
  </si>
  <si>
    <t>34.7.2.1.</t>
  </si>
  <si>
    <t>34.7.2.2.</t>
  </si>
  <si>
    <t>34.7.2.3.</t>
  </si>
  <si>
    <t>34.7.2.4.</t>
  </si>
  <si>
    <t>34.7.3.1.</t>
  </si>
  <si>
    <t>34.7.3.2.</t>
  </si>
  <si>
    <t>34.7.3.3.</t>
  </si>
  <si>
    <t>34.7.3.4.</t>
  </si>
  <si>
    <t>34.8.2.1.</t>
  </si>
  <si>
    <t>34.8.2.2.</t>
  </si>
  <si>
    <t>34.8.2.3.</t>
  </si>
  <si>
    <t>34.8.2.4.</t>
  </si>
  <si>
    <t>Муниципальные СМИ, не нуждающиеся в регистрации в соответствии с законодательством о СМИ, учредителями (соучредителями) которых являются муниципальные образования:</t>
  </si>
  <si>
    <t>Муниципальные образования, являющиеся учредителями (соучредителями) муниципальных СМИ (хотя бы одного), зарегистрированных в соответствии с законодательством о СМИ</t>
  </si>
  <si>
    <t>Муниципальные образования, являющиеся учредителями (соучредителями) муниципальных СМИ, не нуждающихся в регистрации в соответствии с законодательством о СМИ</t>
  </si>
  <si>
    <t xml:space="preserve">  учредителями муниципальных учреждений (включая органы местного самоуправления, имеющие статус юридических лиц)</t>
  </si>
  <si>
    <t>Муниципальные образования, в которых органы местного самоуправления совершали нотариальные действия в 2022 году в связи с отсутствием нотариуса</t>
  </si>
  <si>
    <r>
      <t xml:space="preserve">  S </t>
    </r>
    <r>
      <rPr>
        <sz val="11"/>
        <rFont val="Calibri"/>
        <family val="2"/>
      </rPr>
      <t xml:space="preserve">≤ 1 кв. км. </t>
    </r>
  </si>
  <si>
    <r>
      <t xml:space="preserve">  1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10 кв. км. </t>
    </r>
  </si>
  <si>
    <r>
      <t xml:space="preserve">  10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100 кв. км. </t>
    </r>
  </si>
  <si>
    <r>
      <t xml:space="preserve">  100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 тыс. кв. км. </t>
    </r>
  </si>
  <si>
    <r>
      <t xml:space="preserve">  1 тыс.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10 тыс. кв. км. </t>
    </r>
  </si>
  <si>
    <r>
      <t xml:space="preserve">  10 тыс.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100 тыс. кв. км. </t>
    </r>
  </si>
  <si>
    <r>
      <t xml:space="preserve">Муниципальные районы, муниципальные и городские округа, </t>
    </r>
    <r>
      <rPr>
        <u/>
        <sz val="11"/>
        <rFont val="Calibri"/>
        <family val="2"/>
        <scheme val="minor"/>
      </rPr>
      <t>соответствующие</t>
    </r>
    <r>
      <rPr>
        <sz val="11"/>
        <rFont val="Calibri"/>
        <family val="2"/>
        <scheme val="minor"/>
      </rPr>
      <t xml:space="preserve"> следующим критериям городского округа:</t>
    </r>
  </si>
  <si>
    <r>
      <t xml:space="preserve"> Муниципальные образования одновременно соответствующие </t>
    </r>
    <r>
      <rPr>
        <u/>
        <sz val="11"/>
        <rFont val="Calibri"/>
        <family val="2"/>
        <scheme val="minor"/>
      </rPr>
      <t>всем трем</t>
    </r>
    <r>
      <rPr>
        <sz val="11"/>
        <rFont val="Calibri"/>
        <family val="2"/>
        <scheme val="minor"/>
      </rPr>
      <t xml:space="preserve"> вышеназванным критериям городского округа</t>
    </r>
  </si>
  <si>
    <r>
      <t>Изменения территориальной организации местного самоуправления в 2022 году</t>
    </r>
    <r>
      <rPr>
        <sz val="11"/>
        <rFont val="Calibri"/>
        <family val="2"/>
        <scheme val="minor"/>
      </rPr>
      <t xml:space="preserve"> (согл. законам субъектов РФ, вступившим в силу с 02.01.2022 по 01.01.2023):</t>
    </r>
  </si>
  <si>
    <r>
      <t xml:space="preserve">Муниципальные образования, затронутые изменениями территориальной организации местного самоуправления в 2022 году </t>
    </r>
    <r>
      <rPr>
        <sz val="11"/>
        <rFont val="Calibri"/>
        <family val="2"/>
        <scheme val="minor"/>
      </rPr>
      <t xml:space="preserve"> (согл. законам субъектов РФ, вступившим в силу не ранее 2 января 2022 г. и не позднее 1 января 2023 г.):</t>
    </r>
  </si>
  <si>
    <r>
      <t xml:space="preserve">  пункта 2 (но не пунктов 3 и 4) статьи 136 - дотации и поступления по дополнительным нормативам отчислений составляли </t>
    </r>
    <r>
      <rPr>
        <u/>
        <sz val="11"/>
        <rFont val="Calibri"/>
        <family val="2"/>
        <scheme val="minor"/>
      </rPr>
      <t>более 5, но не более 20 процентов</t>
    </r>
    <r>
      <rPr>
        <sz val="11"/>
        <rFont val="Calibri"/>
        <family val="2"/>
        <scheme val="minor"/>
      </rPr>
      <t xml:space="preserve"> доходов местного бюджета за 2 из 3 последних отчетных финансовых лет</t>
    </r>
  </si>
  <si>
    <r>
      <t xml:space="preserve">  пункта 3 (но не пункта 4) статьи 136 - дотации и поступления по дополнительным нормативам отчислений составляли </t>
    </r>
    <r>
      <rPr>
        <u/>
        <sz val="11"/>
        <rFont val="Calibri"/>
        <family val="2"/>
        <scheme val="minor"/>
      </rPr>
      <t>более 20, но не более 50 процентов</t>
    </r>
    <r>
      <rPr>
        <sz val="11"/>
        <rFont val="Calibri"/>
        <family val="2"/>
        <scheme val="minor"/>
      </rPr>
      <t xml:space="preserve"> доходов местного бюджета за 2 из 3 последних отчетных финансовых лет</t>
    </r>
  </si>
  <si>
    <r>
      <t xml:space="preserve">  пункта 4 статьи 136 - дотации и поступления по дополнительным нормативам отчислений составляли </t>
    </r>
    <r>
      <rPr>
        <u/>
        <sz val="11"/>
        <rFont val="Calibri"/>
        <family val="2"/>
        <scheme val="minor"/>
      </rPr>
      <t>более 50 процентов</t>
    </r>
    <r>
      <rPr>
        <sz val="11"/>
        <rFont val="Calibri"/>
        <family val="2"/>
        <scheme val="minor"/>
      </rPr>
      <t xml:space="preserve"> доходов местного бюджета за 2 из 3 последних отчетных финансовых лет</t>
    </r>
  </si>
  <si>
    <r>
      <rPr>
        <u/>
        <sz val="11"/>
        <rFont val="Calibri"/>
        <family val="2"/>
        <scheme val="minor"/>
      </rPr>
      <t>Количество муниципальных образований,</t>
    </r>
    <r>
      <rPr>
        <sz val="11"/>
        <rFont val="Calibri"/>
        <family val="2"/>
        <scheme val="minor"/>
      </rPr>
      <t xml:space="preserve"> органы местного самоуправления которых осуществляли в 2022 финансовом году какие-либо переданные (делегированные) государственные полномочия, </t>
    </r>
    <r>
      <rPr>
        <u/>
        <sz val="11"/>
        <rFont val="Calibri"/>
        <family val="2"/>
        <scheme val="minor"/>
      </rPr>
      <t>обеспеченные субвенциями</t>
    </r>
    <r>
      <rPr>
        <sz val="11"/>
        <rFont val="Calibri"/>
        <family val="2"/>
        <scheme val="minor"/>
      </rPr>
      <t xml:space="preserve"> из федерального бюджета или бюджета субъекта РФ</t>
    </r>
    <r>
      <rPr>
        <u/>
        <sz val="11"/>
        <rFont val="Calibri"/>
        <family val="2"/>
        <scheme val="minor"/>
      </rPr>
      <t xml:space="preserve"> (подсчет самих полномочий вести не нужно)</t>
    </r>
    <r>
      <rPr>
        <sz val="11"/>
        <rFont val="Calibri"/>
        <family val="2"/>
        <scheme val="minor"/>
      </rPr>
      <t>, в том числе:</t>
    </r>
  </si>
  <si>
    <r>
      <t xml:space="preserve">  "собственные" полномочия субъекта Российской Федерации (упомятуные в части 1 ст. 44 Федерального закона от 21 декабря 2021 г. № 414-ФЗ и законах субъектов РФ) переданные (делегированные) законом субъекта Российской Федерации (в соотв. со ст. 19 Федерального закона от 6 октября 2003 г. № 131-ФЗ) органам местного самоуправления (с субвенциями из бюджета субъекта Российской Федерации),</t>
    </r>
    <r>
      <rPr>
        <u/>
        <sz val="11"/>
        <rFont val="Calibri"/>
        <family val="2"/>
        <scheme val="minor"/>
      </rPr>
      <t xml:space="preserve"> без учета делегированных федеральных государственных полномочий, указанных в пп. 10.1.1 и 10.1.2,</t>
    </r>
    <r>
      <rPr>
        <sz val="11"/>
        <rFont val="Calibri"/>
        <family val="2"/>
        <scheme val="minor"/>
      </rPr>
      <t xml:space="preserve"> в т.ч.</t>
    </r>
  </si>
  <si>
    <r>
      <t xml:space="preserve">Муниципальные образования, органы местного самоуправления которых </t>
    </r>
    <r>
      <rPr>
        <u/>
        <sz val="11"/>
        <rFont val="Calibri"/>
        <family val="2"/>
        <scheme val="minor"/>
      </rPr>
      <t>не осуществляли</t>
    </r>
    <r>
      <rPr>
        <sz val="11"/>
        <rFont val="Calibri"/>
        <family val="2"/>
        <scheme val="minor"/>
      </rPr>
      <t xml:space="preserve"> в 2022 году какие-либо государственные полномочия, обеспеченные субвенциями</t>
    </r>
  </si>
  <si>
    <r>
      <t xml:space="preserve">Количество действовавших в 2022 году </t>
    </r>
    <r>
      <rPr>
        <u/>
        <sz val="11"/>
        <rFont val="Calibri"/>
        <family val="2"/>
        <scheme val="minor"/>
      </rPr>
      <t xml:space="preserve">соглашений </t>
    </r>
    <r>
      <rPr>
        <sz val="11"/>
        <rFont val="Calibri"/>
        <family val="2"/>
        <scheme val="minor"/>
      </rPr>
      <t>между органами местного самоуправления поселений и муниципальных районов соглашений о передаче полномочий, заключенных в соотв. со ст. 15 Федерального закона № 131-ФЗ:</t>
    </r>
  </si>
  <si>
    <r>
      <t xml:space="preserve">Количество </t>
    </r>
    <r>
      <rPr>
        <u/>
        <sz val="11"/>
        <rFont val="Calibri"/>
        <family val="2"/>
        <scheme val="minor"/>
      </rPr>
      <t>действующих</t>
    </r>
    <r>
      <rPr>
        <sz val="11"/>
        <rFont val="Calibri"/>
        <family val="2"/>
        <scheme val="minor"/>
      </rPr>
      <t xml:space="preserve"> представительных органов по </t>
    </r>
    <r>
      <rPr>
        <u/>
        <sz val="11"/>
        <rFont val="Calibri"/>
        <family val="2"/>
        <scheme val="minor"/>
      </rPr>
      <t>установленной</t>
    </r>
    <r>
      <rPr>
        <sz val="11"/>
        <rFont val="Calibri"/>
        <family val="2"/>
        <scheme val="minor"/>
      </rPr>
      <t xml:space="preserve"> (для избранных на выборах - на момент избрания) численности депутатов:</t>
    </r>
  </si>
  <si>
    <r>
      <t xml:space="preserve">Количество действующих представительных органов согласно </t>
    </r>
    <r>
      <rPr>
        <u/>
        <sz val="11"/>
        <rFont val="Calibri"/>
        <family val="2"/>
        <scheme val="minor"/>
      </rPr>
      <t>фактической</t>
    </r>
    <r>
      <rPr>
        <sz val="11"/>
        <rFont val="Calibri"/>
        <family val="2"/>
        <scheme val="minor"/>
      </rPr>
      <t xml:space="preserve"> численности депутатов:</t>
    </r>
  </si>
  <si>
    <r>
      <t xml:space="preserve">Действующие депутаты, которые были ранее избраны 
</t>
    </r>
    <r>
      <rPr>
        <u/>
        <sz val="11"/>
        <rFont val="Calibri"/>
        <family val="2"/>
        <scheme val="minor"/>
      </rPr>
      <t>на муниципальных выборах</t>
    </r>
    <r>
      <rPr>
        <sz val="11"/>
        <rFont val="Calibri"/>
        <family val="2"/>
        <scheme val="minor"/>
      </rPr>
      <t xml:space="preserve"> (и сохраняют к концу 2022 года свои депутатские полномочия), в т.ч.:</t>
    </r>
  </si>
  <si>
    <r>
      <t xml:space="preserve">Действующие депутаты муниципальных районов и городских округов с внутригородским делением, избранные методом </t>
    </r>
    <r>
      <rPr>
        <u/>
        <sz val="11"/>
        <rFont val="Calibri"/>
        <family val="2"/>
        <scheme val="minor"/>
      </rPr>
      <t>делегирования</t>
    </r>
    <r>
      <rPr>
        <sz val="11"/>
        <rFont val="Calibri"/>
        <family val="2"/>
        <scheme val="minor"/>
      </rPr>
      <t>, в т.ч.:</t>
    </r>
  </si>
  <si>
    <r>
      <t xml:space="preserve">Вакантные депутатские мандаты в </t>
    </r>
    <r>
      <rPr>
        <u/>
        <sz val="11"/>
        <rFont val="Calibri"/>
        <family val="2"/>
        <scheme val="minor"/>
      </rPr>
      <t xml:space="preserve">действующих </t>
    </r>
    <r>
      <rPr>
        <sz val="11"/>
        <rFont val="Calibri"/>
        <family val="2"/>
        <scheme val="minor"/>
      </rPr>
      <t>представительных органах, подлежащие замещению</t>
    </r>
  </si>
  <si>
    <r>
      <t xml:space="preserve">Количество действующих </t>
    </r>
    <r>
      <rPr>
        <u/>
        <sz val="11"/>
        <rFont val="Calibri"/>
        <family val="2"/>
        <scheme val="minor"/>
      </rPr>
      <t>муниципальных образований,</t>
    </r>
    <r>
      <rPr>
        <sz val="11"/>
        <rFont val="Calibri"/>
        <family val="2"/>
        <scheme val="minor"/>
      </rPr>
      <t xml:space="preserve"> являющихся </t>
    </r>
    <r>
      <rPr>
        <u/>
        <sz val="11"/>
        <rFont val="Calibri"/>
        <family val="2"/>
        <scheme val="minor"/>
      </rPr>
      <t>учредителями</t>
    </r>
    <r>
      <rPr>
        <sz val="11"/>
        <rFont val="Calibri"/>
        <family val="2"/>
        <scheme val="minor"/>
      </rPr>
      <t xml:space="preserve"> муниципальных организаций (хотя бы одной), в том числе опосредованно - через органы местного самоуправления, в т.ч.:</t>
    </r>
  </si>
  <si>
    <r>
      <t xml:space="preserve">  учредителями муниципальных учреждений (</t>
    </r>
    <r>
      <rPr>
        <u/>
        <sz val="11"/>
        <rFont val="Calibri"/>
        <family val="2"/>
        <scheme val="minor"/>
      </rPr>
      <t>без учета</t>
    </r>
    <r>
      <rPr>
        <sz val="11"/>
        <rFont val="Calibri"/>
        <family val="2"/>
        <scheme val="minor"/>
      </rPr>
      <t xml:space="preserve"> органов местного самоуправления, имеющих статус юридических лиц)</t>
    </r>
  </si>
  <si>
    <r>
      <t xml:space="preserve">Количество действующих </t>
    </r>
    <r>
      <rPr>
        <u/>
        <sz val="11"/>
        <rFont val="Calibri"/>
        <family val="2"/>
        <scheme val="minor"/>
      </rPr>
      <t>муниципальных образований,</t>
    </r>
    <r>
      <rPr>
        <sz val="11"/>
        <rFont val="Calibri"/>
        <family val="2"/>
        <scheme val="minor"/>
      </rPr>
      <t xml:space="preserve"> являющихся участниками (в т.ч. опосредованно - через органы местного самоуправления):</t>
    </r>
  </si>
  <si>
    <r>
      <t xml:space="preserve">Количество муниципальных образований, </t>
    </r>
    <r>
      <rPr>
        <u/>
        <sz val="11"/>
        <rFont val="Calibri"/>
        <family val="2"/>
        <scheme val="minor"/>
      </rPr>
      <t>не являющихся</t>
    </r>
    <r>
      <rPr>
        <sz val="11"/>
        <rFont val="Calibri"/>
        <family val="2"/>
        <scheme val="minor"/>
      </rPr>
      <t xml:space="preserve"> учредителями либо участниками каких-либо организаций</t>
    </r>
  </si>
  <si>
    <r>
      <t xml:space="preserve">  по иным вопросам (в т.ч. собрания, </t>
    </r>
    <r>
      <rPr>
        <u/>
        <sz val="11"/>
        <rFont val="Calibri"/>
        <family val="2"/>
        <scheme val="minor"/>
      </rPr>
      <t>не связанные</t>
    </r>
    <r>
      <rPr>
        <sz val="11"/>
        <rFont val="Calibri"/>
        <family val="2"/>
        <scheme val="minor"/>
      </rPr>
      <t xml:space="preserve"> с вопросами, указанными в ст. 25 и 25.1 Федерального закона № 131-ФЗ, но оформленные как сходы)</t>
    </r>
  </si>
  <si>
    <r>
      <t xml:space="preserve">Количество </t>
    </r>
    <r>
      <rPr>
        <u/>
        <sz val="11"/>
        <rFont val="Calibri"/>
        <family val="2"/>
        <scheme val="minor"/>
      </rPr>
      <t>муниципальных образований</t>
    </r>
    <r>
      <rPr>
        <sz val="11"/>
        <rFont val="Calibri"/>
        <family val="2"/>
        <scheme val="minor"/>
      </rPr>
      <t>, уставами или иными актами которых предусмотрено создание общественных палат (советов) муниципальных образований и (или) общественных советов при органах местного самоуправления</t>
    </r>
  </si>
  <si>
    <r>
      <t xml:space="preserve">Количество </t>
    </r>
    <r>
      <rPr>
        <u/>
        <sz val="11"/>
        <rFont val="Calibri"/>
        <family val="2"/>
        <scheme val="minor"/>
      </rPr>
      <t>муниципальных образований</t>
    </r>
    <r>
      <rPr>
        <sz val="11"/>
        <rFont val="Calibri"/>
        <family val="2"/>
        <scheme val="minor"/>
      </rPr>
      <t xml:space="preserve">, на территории которых действует </t>
    </r>
    <r>
      <rPr>
        <u/>
        <sz val="11"/>
        <rFont val="Calibri"/>
        <family val="2"/>
        <scheme val="minor"/>
      </rPr>
      <t>не менее одного ТОС с уставом, зарегистрированным в органах местного самоуправления</t>
    </r>
  </si>
  <si>
    <r>
      <t xml:space="preserve">Количество ТОС </t>
    </r>
    <r>
      <rPr>
        <u/>
        <sz val="11"/>
        <rFont val="Calibri"/>
        <family val="2"/>
        <scheme val="minor"/>
      </rPr>
      <t>с уставами, зарегистрированными в органах местного самоуправления</t>
    </r>
    <r>
      <rPr>
        <sz val="11"/>
        <rFont val="Calibri"/>
        <family val="2"/>
        <scheme val="minor"/>
      </rPr>
      <t>, действующих на территории:</t>
    </r>
  </si>
  <si>
    <r>
      <t xml:space="preserve">Количество принятых решений контрольно-надзорных органов о наложении штрафов на </t>
    </r>
    <r>
      <rPr>
        <u/>
        <sz val="11"/>
        <rFont val="Calibri"/>
        <family val="2"/>
        <scheme val="minor"/>
      </rPr>
      <t>органы</t>
    </r>
    <r>
      <rPr>
        <sz val="11"/>
        <rFont val="Calibri"/>
        <family val="2"/>
        <scheme val="minor"/>
      </rPr>
      <t xml:space="preserve"> местного самоуправления</t>
    </r>
  </si>
  <si>
    <r>
      <t xml:space="preserve">Количество принятых решений контрольно-надзорных органов о наложении штрафов на </t>
    </r>
    <r>
      <rPr>
        <u/>
        <sz val="11"/>
        <rFont val="Calibri"/>
        <family val="2"/>
        <scheme val="minor"/>
      </rPr>
      <t>должностных лиц</t>
    </r>
    <r>
      <rPr>
        <sz val="11"/>
        <rFont val="Calibri"/>
        <family val="2"/>
        <scheme val="minor"/>
      </rPr>
      <t xml:space="preserve"> органов местного самоуправления</t>
    </r>
  </si>
  <si>
    <r>
      <t xml:space="preserve">Общая сумма штрафов, наложенных на </t>
    </r>
    <r>
      <rPr>
        <u/>
        <sz val="11"/>
        <rFont val="Calibri"/>
        <family val="2"/>
        <scheme val="minor"/>
      </rPr>
      <t>органы</t>
    </r>
    <r>
      <rPr>
        <sz val="11"/>
        <rFont val="Calibri"/>
        <family val="2"/>
        <scheme val="minor"/>
      </rPr>
      <t xml:space="preserve"> местного самоуправления решениями контрольно-надзорных органов (рублей)</t>
    </r>
  </si>
  <si>
    <r>
      <t>Общая сумма штрафов, наложенных на</t>
    </r>
    <r>
      <rPr>
        <i/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должностных лиц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органов местного самоуправления решениями контрольно-надзорных органов (рублей)</t>
    </r>
  </si>
  <si>
    <t>Беловском сельсовете Троицкого района Алтайского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</si>
</sst>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.35"/>
      <name val="Calibri"/>
      <family val="2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wrapText="1"/>
    </xf>
    <xf numFmtId="0" fontId="15" fillId="3" borderId="1" xfId="0" applyFont="1" applyFill="1" applyBorder="1" applyAlignment="1"/>
    <xf numFmtId="0" fontId="7" fillId="3" borderId="1" xfId="0" applyFont="1" applyFill="1" applyBorder="1" applyAlignment="1"/>
    <xf numFmtId="0" fontId="18" fillId="3" borderId="1" xfId="0" applyFont="1" applyFill="1" applyBorder="1" applyAlignment="1"/>
    <xf numFmtId="0" fontId="18" fillId="3" borderId="7" xfId="0" applyFont="1" applyFill="1" applyBorder="1" applyAlignment="1">
      <alignment wrapText="1"/>
    </xf>
    <xf numFmtId="0" fontId="19" fillId="3" borderId="1" xfId="0" applyFont="1" applyFill="1" applyBorder="1" applyAlignment="1"/>
    <xf numFmtId="0" fontId="17" fillId="3" borderId="7" xfId="0" applyFont="1" applyFill="1" applyBorder="1" applyAlignment="1"/>
    <xf numFmtId="0" fontId="20" fillId="3" borderId="1" xfId="0" applyFont="1" applyFill="1" applyBorder="1" applyAlignment="1"/>
    <xf numFmtId="0" fontId="6" fillId="3" borderId="3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7" fillId="5" borderId="1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wrapText="1"/>
    </xf>
    <xf numFmtId="0" fontId="15" fillId="3" borderId="0" xfId="0" applyFont="1" applyFill="1" applyBorder="1" applyAlignment="1"/>
    <xf numFmtId="0" fontId="7" fillId="5" borderId="0" xfId="0" applyFont="1" applyFill="1" applyBorder="1" applyAlignment="1"/>
    <xf numFmtId="0" fontId="7" fillId="3" borderId="0" xfId="0" applyFont="1" applyFill="1" applyBorder="1" applyAlignment="1"/>
    <xf numFmtId="0" fontId="7" fillId="3" borderId="2" xfId="0" applyFont="1" applyFill="1" applyBorder="1" applyAlignment="1"/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8" fillId="3" borderId="0" xfId="0" applyFont="1" applyFill="1" applyBorder="1" applyAlignment="1">
      <alignment wrapText="1"/>
    </xf>
    <xf numFmtId="0" fontId="20" fillId="3" borderId="0" xfId="0" applyFont="1" applyFill="1" applyBorder="1" applyAlignment="1"/>
    <xf numFmtId="0" fontId="19" fillId="3" borderId="0" xfId="0" applyFont="1" applyFill="1" applyBorder="1" applyAlignment="1"/>
    <xf numFmtId="0" fontId="0" fillId="3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 wrapText="1"/>
    </xf>
    <xf numFmtId="0" fontId="17" fillId="5" borderId="1" xfId="0" applyFont="1" applyFill="1" applyBorder="1" applyAlignment="1"/>
    <xf numFmtId="0" fontId="17" fillId="2" borderId="1" xfId="0" applyFont="1" applyFill="1" applyBorder="1" applyAlignment="1" applyProtection="1">
      <alignment wrapText="1"/>
      <protection locked="0"/>
    </xf>
    <xf numFmtId="0" fontId="17" fillId="4" borderId="1" xfId="0" applyFont="1" applyFill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8" fillId="3" borderId="6" xfId="0" applyFont="1" applyFill="1" applyBorder="1" applyAlignment="1">
      <alignment wrapText="1"/>
    </xf>
    <xf numFmtId="0" fontId="18" fillId="3" borderId="3" xfId="0" applyFont="1" applyFill="1" applyBorder="1" applyAlignment="1">
      <alignment wrapText="1"/>
    </xf>
    <xf numFmtId="0" fontId="18" fillId="3" borderId="14" xfId="0" applyFont="1" applyFill="1" applyBorder="1" applyAlignment="1">
      <alignment wrapText="1"/>
    </xf>
    <xf numFmtId="0" fontId="18" fillId="3" borderId="15" xfId="0" applyFont="1" applyFill="1" applyBorder="1" applyAlignment="1">
      <alignment wrapText="1"/>
    </xf>
    <xf numFmtId="0" fontId="18" fillId="3" borderId="11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0" fontId="18" fillId="3" borderId="9" xfId="0" applyFont="1" applyFill="1" applyBorder="1" applyAlignment="1">
      <alignment wrapText="1"/>
    </xf>
    <xf numFmtId="0" fontId="18" fillId="3" borderId="8" xfId="0" applyFont="1" applyFill="1" applyBorder="1" applyAlignment="1">
      <alignment wrapText="1"/>
    </xf>
    <xf numFmtId="0" fontId="18" fillId="3" borderId="10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18" fillId="3" borderId="5" xfId="0" applyFont="1" applyFill="1" applyBorder="1" applyAlignment="1">
      <alignment wrapText="1"/>
    </xf>
    <xf numFmtId="0" fontId="18" fillId="3" borderId="13" xfId="0" applyFont="1" applyFill="1" applyBorder="1" applyAlignment="1">
      <alignment wrapText="1"/>
    </xf>
    <xf numFmtId="0" fontId="18" fillId="3" borderId="0" xfId="0" applyFont="1" applyFill="1" applyAlignment="1">
      <alignment wrapText="1"/>
    </xf>
    <xf numFmtId="0" fontId="18" fillId="3" borderId="9" xfId="0" applyFont="1" applyFill="1" applyBorder="1" applyAlignment="1" applyProtection="1">
      <alignment wrapText="1"/>
      <protection locked="0"/>
    </xf>
    <xf numFmtId="0" fontId="18" fillId="3" borderId="1" xfId="0" applyFont="1" applyFill="1" applyBorder="1" applyAlignment="1" applyProtection="1">
      <alignment wrapText="1"/>
      <protection locked="0"/>
    </xf>
    <xf numFmtId="0" fontId="10" fillId="7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15" fillId="3" borderId="7" xfId="0" applyFont="1" applyFill="1" applyBorder="1" applyAlignment="1">
      <alignment wrapText="1"/>
    </xf>
    <xf numFmtId="0" fontId="18" fillId="3" borderId="1" xfId="0" applyFont="1" applyFill="1" applyBorder="1" applyAlignment="1"/>
    <xf numFmtId="0" fontId="19" fillId="3" borderId="1" xfId="0" applyFont="1" applyFill="1" applyBorder="1" applyAlignment="1"/>
    <xf numFmtId="0" fontId="18" fillId="3" borderId="0" xfId="0" applyFont="1" applyFill="1" applyBorder="1" applyAlignment="1"/>
    <xf numFmtId="0" fontId="19" fillId="3" borderId="0" xfId="0" applyFont="1" applyFill="1" applyBorder="1" applyAlignment="1"/>
    <xf numFmtId="0" fontId="17" fillId="5" borderId="1" xfId="0" applyFont="1" applyFill="1" applyBorder="1" applyAlignment="1"/>
    <xf numFmtId="0" fontId="0" fillId="0" borderId="0" xfId="0" applyAlignment="1">
      <alignment horizontal="center" wrapText="1"/>
    </xf>
    <xf numFmtId="0" fontId="18" fillId="3" borderId="7" xfId="0" applyFont="1" applyFill="1" applyBorder="1" applyAlignment="1"/>
    <xf numFmtId="0" fontId="22" fillId="3" borderId="1" xfId="0" applyFont="1" applyFill="1" applyBorder="1" applyAlignment="1"/>
    <xf numFmtId="0" fontId="4" fillId="5" borderId="1" xfId="0" applyFont="1" applyFill="1" applyBorder="1" applyAlignment="1"/>
    <xf numFmtId="0" fontId="17" fillId="8" borderId="1" xfId="0" applyFont="1" applyFill="1" applyBorder="1" applyAlignment="1"/>
    <xf numFmtId="0" fontId="3" fillId="5" borderId="1" xfId="0" applyFont="1" applyFill="1" applyBorder="1" applyAlignment="1"/>
    <xf numFmtId="0" fontId="16" fillId="5" borderId="1" xfId="0" applyFont="1" applyFill="1" applyBorder="1" applyAlignment="1"/>
    <xf numFmtId="0" fontId="16" fillId="3" borderId="1" xfId="0" applyFont="1" applyFill="1" applyBorder="1" applyAlignment="1">
      <alignment wrapText="1"/>
    </xf>
    <xf numFmtId="0" fontId="16" fillId="3" borderId="5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16" fillId="3" borderId="1" xfId="0" applyFont="1" applyFill="1" applyBorder="1" applyAlignment="1"/>
    <xf numFmtId="0" fontId="16" fillId="0" borderId="1" xfId="0" applyFont="1" applyBorder="1" applyAlignment="1" applyProtection="1">
      <alignment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/>
    <xf numFmtId="0" fontId="16" fillId="3" borderId="8" xfId="0" applyFont="1" applyFill="1" applyBorder="1" applyAlignment="1">
      <alignment wrapText="1"/>
    </xf>
    <xf numFmtId="0" fontId="16" fillId="3" borderId="10" xfId="0" applyFont="1" applyFill="1" applyBorder="1" applyAlignment="1">
      <alignment wrapText="1"/>
    </xf>
    <xf numFmtId="0" fontId="16" fillId="4" borderId="1" xfId="0" applyFont="1" applyFill="1" applyBorder="1" applyAlignment="1" applyProtection="1">
      <alignment wrapText="1"/>
      <protection locked="0"/>
    </xf>
    <xf numFmtId="0" fontId="16" fillId="3" borderId="15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6" xfId="0" applyFont="1" applyFill="1" applyBorder="1" applyAlignment="1">
      <alignment wrapText="1"/>
    </xf>
    <xf numFmtId="0" fontId="16" fillId="3" borderId="7" xfId="0" applyFont="1" applyFill="1" applyBorder="1" applyAlignment="1">
      <alignment wrapText="1"/>
    </xf>
    <xf numFmtId="0" fontId="16" fillId="3" borderId="2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4" fillId="3" borderId="6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14" fontId="17" fillId="4" borderId="4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16" fontId="17" fillId="2" borderId="1" xfId="0" applyNumberFormat="1" applyFont="1" applyFill="1" applyBorder="1" applyAlignment="1">
      <alignment horizontal="left" vertical="center" wrapText="1"/>
    </xf>
    <xf numFmtId="14" fontId="17" fillId="2" borderId="1" xfId="0" applyNumberFormat="1" applyFont="1" applyFill="1" applyBorder="1" applyAlignment="1">
      <alignment horizontal="left" vertical="center" wrapText="1"/>
    </xf>
    <xf numFmtId="16" fontId="17" fillId="0" borderId="1" xfId="0" applyNumberFormat="1" applyFont="1" applyBorder="1" applyAlignment="1">
      <alignment horizontal="left" vertical="center" wrapText="1"/>
    </xf>
    <xf numFmtId="0" fontId="29" fillId="4" borderId="1" xfId="0" applyFont="1" applyFill="1" applyBorder="1" applyAlignment="1" applyProtection="1">
      <alignment wrapText="1"/>
      <protection locked="0"/>
    </xf>
    <xf numFmtId="0" fontId="29" fillId="0" borderId="1" xfId="0" applyFont="1" applyBorder="1" applyAlignment="1" applyProtection="1">
      <alignment wrapText="1"/>
      <protection locked="0"/>
    </xf>
    <xf numFmtId="0" fontId="29" fillId="2" borderId="1" xfId="0" applyFont="1" applyFill="1" applyBorder="1" applyAlignment="1" applyProtection="1">
      <alignment wrapText="1"/>
      <protection locked="0"/>
    </xf>
    <xf numFmtId="0" fontId="29" fillId="2" borderId="4" xfId="0" applyFont="1" applyFill="1" applyBorder="1" applyAlignment="1" applyProtection="1">
      <alignment wrapText="1"/>
      <protection locked="0"/>
    </xf>
    <xf numFmtId="0" fontId="29" fillId="6" borderId="1" xfId="0" applyFont="1" applyFill="1" applyBorder="1" applyAlignment="1" applyProtection="1">
      <alignment wrapText="1"/>
      <protection locked="0"/>
    </xf>
    <xf numFmtId="0" fontId="29" fillId="3" borderId="1" xfId="0" applyFont="1" applyFill="1" applyBorder="1" applyAlignment="1" applyProtection="1">
      <alignment wrapText="1"/>
      <protection locked="0"/>
    </xf>
    <xf numFmtId="0" fontId="30" fillId="0" borderId="1" xfId="0" applyFont="1" applyBorder="1" applyAlignment="1" applyProtection="1">
      <alignment wrapText="1"/>
      <protection locked="0"/>
    </xf>
    <xf numFmtId="0" fontId="30" fillId="0" borderId="6" xfId="0" applyFont="1" applyBorder="1" applyAlignment="1" applyProtection="1">
      <alignment wrapText="1"/>
      <protection locked="0"/>
    </xf>
    <xf numFmtId="0" fontId="29" fillId="4" borderId="6" xfId="0" applyFont="1" applyFill="1" applyBorder="1" applyAlignment="1" applyProtection="1">
      <alignment wrapText="1"/>
      <protection locked="0"/>
    </xf>
    <xf numFmtId="4" fontId="29" fillId="2" borderId="1" xfId="0" applyNumberFormat="1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13" xfId="0" applyFont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7" xfId="0" applyFont="1" applyFill="1" applyBorder="1" applyAlignment="1">
      <alignment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18" fillId="4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17" fillId="3" borderId="1" xfId="0" applyFont="1" applyFill="1" applyBorder="1" applyAlignment="1"/>
    <xf numFmtId="0" fontId="0" fillId="3" borderId="4" xfId="0" applyFill="1" applyBorder="1" applyAlignment="1">
      <alignment wrapText="1"/>
    </xf>
    <xf numFmtId="0" fontId="1" fillId="0" borderId="4" xfId="0" applyFont="1" applyBorder="1" applyAlignment="1" applyProtection="1">
      <alignment wrapText="1"/>
      <protection locked="0"/>
    </xf>
    <xf numFmtId="0" fontId="0" fillId="3" borderId="13" xfId="0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" fillId="3" borderId="3" xfId="0" applyFont="1" applyFill="1" applyBorder="1" applyAlignment="1" applyProtection="1">
      <alignment wrapText="1"/>
      <protection locked="0"/>
    </xf>
    <xf numFmtId="0" fontId="18" fillId="3" borderId="4" xfId="0" applyFont="1" applyFill="1" applyBorder="1" applyAlignment="1"/>
    <xf numFmtId="0" fontId="18" fillId="3" borderId="13" xfId="0" applyFont="1" applyFill="1" applyBorder="1" applyAlignment="1"/>
    <xf numFmtId="0" fontId="18" fillId="3" borderId="12" xfId="0" applyFont="1" applyFill="1" applyBorder="1" applyAlignment="1"/>
    <xf numFmtId="0" fontId="0" fillId="3" borderId="9" xfId="0" applyFill="1" applyBorder="1" applyAlignment="1">
      <alignment wrapText="1"/>
    </xf>
    <xf numFmtId="0" fontId="1" fillId="3" borderId="8" xfId="0" applyFont="1" applyFill="1" applyBorder="1" applyAlignment="1" applyProtection="1">
      <alignment wrapText="1"/>
      <protection locked="0"/>
    </xf>
    <xf numFmtId="0" fontId="18" fillId="3" borderId="15" xfId="0" applyFont="1" applyFill="1" applyBorder="1" applyAlignment="1"/>
    <xf numFmtId="0" fontId="0" fillId="3" borderId="11" xfId="0" applyFill="1" applyBorder="1" applyAlignment="1">
      <alignment wrapText="1"/>
    </xf>
    <xf numFmtId="0" fontId="1" fillId="3" borderId="2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wrapText="1"/>
    </xf>
    <xf numFmtId="0" fontId="19" fillId="3" borderId="7" xfId="0" applyFont="1" applyFill="1" applyBorder="1" applyAlignment="1"/>
    <xf numFmtId="0" fontId="1" fillId="3" borderId="14" xfId="0" applyFont="1" applyFill="1" applyBorder="1" applyAlignment="1" applyProtection="1">
      <alignment wrapText="1"/>
      <protection locked="0"/>
    </xf>
    <xf numFmtId="0" fontId="17" fillId="3" borderId="1" xfId="0" applyFont="1" applyFill="1" applyBorder="1" applyAlignment="1" applyProtection="1">
      <alignment wrapText="1"/>
      <protection locked="0"/>
    </xf>
    <xf numFmtId="0" fontId="18" fillId="3" borderId="14" xfId="0" applyFont="1" applyFill="1" applyBorder="1" applyAlignment="1"/>
    <xf numFmtId="0" fontId="17" fillId="3" borderId="15" xfId="0" applyFont="1" applyFill="1" applyBorder="1" applyAlignment="1"/>
    <xf numFmtId="0" fontId="18" fillId="3" borderId="11" xfId="0" applyFont="1" applyFill="1" applyBorder="1" applyAlignment="1"/>
    <xf numFmtId="0" fontId="17" fillId="3" borderId="12" xfId="0" applyFont="1" applyFill="1" applyBorder="1" applyAlignment="1"/>
    <xf numFmtId="0" fontId="1" fillId="3" borderId="0" xfId="0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9" fillId="3" borderId="2" xfId="0" applyFont="1" applyFill="1" applyBorder="1" applyAlignment="1"/>
    <xf numFmtId="0" fontId="17" fillId="0" borderId="4" xfId="0" applyFont="1" applyBorder="1" applyAlignment="1">
      <alignment horizontal="left" vertical="center" wrapText="1"/>
    </xf>
    <xf numFmtId="0" fontId="7" fillId="5" borderId="4" xfId="0" applyFont="1" applyFill="1" applyBorder="1" applyAlignment="1"/>
    <xf numFmtId="0" fontId="19" fillId="3" borderId="4" xfId="0" applyFont="1" applyFill="1" applyBorder="1" applyAlignment="1"/>
    <xf numFmtId="0" fontId="20" fillId="2" borderId="1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wrapText="1"/>
    </xf>
    <xf numFmtId="0" fontId="15" fillId="3" borderId="12" xfId="0" applyFont="1" applyFill="1" applyBorder="1" applyAlignment="1">
      <alignment wrapText="1"/>
    </xf>
    <xf numFmtId="0" fontId="7" fillId="5" borderId="13" xfId="0" applyFont="1" applyFill="1" applyBorder="1" applyAlignment="1"/>
    <xf numFmtId="0" fontId="19" fillId="3" borderId="13" xfId="0" applyFont="1" applyFill="1" applyBorder="1" applyAlignment="1"/>
    <xf numFmtId="0" fontId="0" fillId="0" borderId="15" xfId="0" applyBorder="1" applyAlignment="1"/>
    <xf numFmtId="0" fontId="2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right" wrapText="1"/>
      <protection locked="0"/>
    </xf>
    <xf numFmtId="0" fontId="18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7" xfId="0" applyFont="1" applyFill="1" applyBorder="1" applyAlignment="1" applyProtection="1">
      <alignment wrapText="1"/>
      <protection locked="0"/>
    </xf>
    <xf numFmtId="0" fontId="18" fillId="3" borderId="6" xfId="0" applyFont="1" applyFill="1" applyBorder="1" applyAlignment="1"/>
    <xf numFmtId="0" fontId="16" fillId="0" borderId="0" xfId="0" applyFont="1" applyAlignment="1">
      <alignment wrapText="1"/>
    </xf>
    <xf numFmtId="0" fontId="31" fillId="0" borderId="0" xfId="0" applyFont="1" applyAlignment="1">
      <alignment horizontal="righ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32" fillId="2" borderId="13" xfId="0" applyFont="1" applyFill="1" applyBorder="1" applyAlignment="1">
      <alignment vertical="center" wrapText="1"/>
    </xf>
    <xf numFmtId="0" fontId="32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2" borderId="1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27" fillId="0" borderId="3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2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CC"/>
      <color rgb="FFFFCCCC"/>
      <color rgb="FFFFFF99"/>
      <color rgb="FFFF9999"/>
      <color rgb="FFFFCC99"/>
      <color rgb="FFFFFFCC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6"/>
  <sheetViews>
    <sheetView tabSelected="1" view="pageBreakPreview" zoomScale="91" zoomScaleNormal="100" zoomScaleSheetLayoutView="91" workbookViewId="0">
      <pane xSplit="7" ySplit="7" topLeftCell="H677" activePane="bottomRight" state="frozen"/>
      <selection pane="topRight" activeCell="H1" sqref="H1"/>
      <selection pane="bottomLeft" activeCell="A7" sqref="A7"/>
      <selection pane="bottomRight" activeCell="H684" sqref="H684"/>
    </sheetView>
  </sheetViews>
  <sheetFormatPr defaultColWidth="9.140625" defaultRowHeight="15" x14ac:dyDescent="0.25"/>
  <cols>
    <col min="1" max="1" width="4.140625" style="3" customWidth="1"/>
    <col min="2" max="2" width="10.28515625" style="9" customWidth="1"/>
    <col min="3" max="3" width="51.42578125" style="212" customWidth="1"/>
    <col min="4" max="7" width="12.85546875" style="3" customWidth="1"/>
    <col min="8" max="8" width="12.85546875" style="21" customWidth="1"/>
    <col min="9" max="9" width="12.85546875" style="3" customWidth="1"/>
    <col min="10" max="10" width="14.28515625" style="73" customWidth="1"/>
    <col min="11" max="12" width="12.85546875" style="3" customWidth="1"/>
    <col min="13" max="13" width="17.140625" style="3" customWidth="1"/>
    <col min="14" max="14" width="14.28515625" style="13" customWidth="1"/>
    <col min="15" max="15" width="12.85546875" style="204" customWidth="1"/>
    <col min="16" max="16" width="4.28515625" style="13" customWidth="1"/>
    <col min="17" max="16384" width="9.140625" style="3"/>
  </cols>
  <sheetData>
    <row r="1" spans="1:16" x14ac:dyDescent="0.25">
      <c r="A1" s="35">
        <v>12</v>
      </c>
    </row>
    <row r="2" spans="1:16" x14ac:dyDescent="0.25">
      <c r="N2" s="5"/>
      <c r="O2" s="205"/>
      <c r="P2" s="14"/>
    </row>
    <row r="3" spans="1:16" s="21" customFormat="1" x14ac:dyDescent="0.25">
      <c r="B3" s="9"/>
      <c r="C3" s="212"/>
      <c r="J3" s="73"/>
      <c r="N3" s="14"/>
      <c r="O3" s="206"/>
      <c r="P3" s="14"/>
    </row>
    <row r="4" spans="1:16" s="21" customFormat="1" ht="21" x14ac:dyDescent="0.35">
      <c r="B4" s="239" t="s">
        <v>1020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36"/>
    </row>
    <row r="5" spans="1:16" s="21" customFormat="1" ht="23.25" x14ac:dyDescent="0.25">
      <c r="B5" s="10"/>
      <c r="C5" s="213" t="s">
        <v>12</v>
      </c>
      <c r="D5" s="240" t="s">
        <v>1461</v>
      </c>
      <c r="E5" s="240"/>
      <c r="F5" s="240"/>
      <c r="G5" s="240"/>
      <c r="H5" s="240"/>
      <c r="I5" s="240"/>
      <c r="J5" s="240"/>
      <c r="K5" s="240"/>
      <c r="L5" s="5"/>
      <c r="M5" s="5"/>
      <c r="N5" s="14"/>
      <c r="O5" s="206"/>
      <c r="P5" s="14"/>
    </row>
    <row r="6" spans="1:16" s="21" customFormat="1" x14ac:dyDescent="0.25">
      <c r="B6" s="9"/>
      <c r="C6" s="212"/>
      <c r="D6" s="241" t="s">
        <v>190</v>
      </c>
      <c r="E6" s="241"/>
      <c r="F6" s="241"/>
      <c r="G6" s="241"/>
      <c r="H6" s="241"/>
      <c r="I6" s="241"/>
      <c r="J6" s="241"/>
      <c r="K6" s="241"/>
      <c r="N6" s="13"/>
      <c r="O6" s="204"/>
      <c r="P6" s="13"/>
    </row>
    <row r="7" spans="1:16" s="6" customFormat="1" ht="76.5" x14ac:dyDescent="0.25">
      <c r="B7" s="113"/>
      <c r="C7" s="214" t="s">
        <v>0</v>
      </c>
      <c r="D7" s="1" t="s">
        <v>931</v>
      </c>
      <c r="E7" s="1" t="s">
        <v>9</v>
      </c>
      <c r="F7" s="1" t="s">
        <v>13</v>
      </c>
      <c r="G7" s="1" t="s">
        <v>11</v>
      </c>
      <c r="H7" s="1" t="s">
        <v>399</v>
      </c>
      <c r="I7" s="1" t="s">
        <v>10</v>
      </c>
      <c r="J7" s="93" t="s">
        <v>853</v>
      </c>
      <c r="K7" s="1" t="s">
        <v>854</v>
      </c>
      <c r="L7" s="1" t="s">
        <v>14</v>
      </c>
      <c r="M7" s="2" t="s">
        <v>395</v>
      </c>
      <c r="N7" s="24" t="s">
        <v>7</v>
      </c>
      <c r="O7" s="24" t="s">
        <v>401</v>
      </c>
      <c r="P7" s="38"/>
    </row>
    <row r="8" spans="1:16" s="6" customFormat="1" x14ac:dyDescent="0.25">
      <c r="B8" s="107" t="s">
        <v>1</v>
      </c>
      <c r="C8" s="215" t="s">
        <v>890</v>
      </c>
      <c r="D8" s="55"/>
      <c r="E8" s="56"/>
      <c r="F8" s="56"/>
      <c r="G8" s="56"/>
      <c r="H8" s="56"/>
      <c r="I8" s="56"/>
      <c r="J8" s="56"/>
      <c r="K8" s="56"/>
      <c r="L8" s="56"/>
      <c r="M8" s="56"/>
      <c r="N8" s="33"/>
      <c r="O8" s="74"/>
      <c r="P8" s="39"/>
    </row>
    <row r="9" spans="1:16" s="7" customFormat="1" ht="30" x14ac:dyDescent="0.25">
      <c r="B9" s="107" t="s">
        <v>2</v>
      </c>
      <c r="C9" s="216" t="s">
        <v>42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33"/>
      <c r="O9" s="74"/>
      <c r="P9" s="39"/>
    </row>
    <row r="10" spans="1:16" ht="30" x14ac:dyDescent="0.25">
      <c r="B10" s="107" t="s">
        <v>41</v>
      </c>
      <c r="C10" s="216" t="s">
        <v>1021</v>
      </c>
      <c r="D10" s="72">
        <f>SUM(E10:I10)+SUM(K10:M10)</f>
        <v>12</v>
      </c>
      <c r="E10" s="52">
        <v>1</v>
      </c>
      <c r="F10" s="52"/>
      <c r="G10" s="52">
        <v>11</v>
      </c>
      <c r="H10" s="52"/>
      <c r="I10" s="52"/>
      <c r="J10" s="52"/>
      <c r="K10" s="52"/>
      <c r="L10" s="52"/>
      <c r="M10" s="52"/>
      <c r="N10" s="26"/>
      <c r="O10" s="84" t="str">
        <f>IF(NOT((J10+K10=0)*AND(H10+I10&gt;1)),"   ","Подсказка - обратить внимание на заполнение столбца М (адм. центры субъектов РФ) - они есть всех кроме Московской и Ленинградской областей, а также городов федерального значения Москвы, Санкт-Петербурга и Севастополя)")</f>
        <v xml:space="preserve">   </v>
      </c>
      <c r="P10" s="40"/>
    </row>
    <row r="11" spans="1:16" ht="30" x14ac:dyDescent="0.25">
      <c r="B11" s="107" t="s">
        <v>577</v>
      </c>
      <c r="C11" s="216" t="s">
        <v>1022</v>
      </c>
      <c r="D11" s="72">
        <f t="shared" ref="D11:D12" si="0">SUM(E11:I11)+SUM(K11:M11)</f>
        <v>12</v>
      </c>
      <c r="E11" s="52">
        <v>1</v>
      </c>
      <c r="F11" s="52"/>
      <c r="G11" s="52">
        <v>11</v>
      </c>
      <c r="H11" s="52"/>
      <c r="I11" s="52"/>
      <c r="J11" s="52"/>
      <c r="K11" s="52"/>
      <c r="L11" s="52"/>
      <c r="M11" s="52"/>
      <c r="N11" s="26"/>
      <c r="O11" s="26"/>
      <c r="P11" s="40"/>
    </row>
    <row r="12" spans="1:16" ht="45" x14ac:dyDescent="0.25">
      <c r="B12" s="108" t="s">
        <v>402</v>
      </c>
      <c r="C12" s="217" t="s">
        <v>1023</v>
      </c>
      <c r="D12" s="72">
        <f t="shared" si="0"/>
        <v>0</v>
      </c>
      <c r="E12" s="53"/>
      <c r="F12" s="53"/>
      <c r="G12" s="53"/>
      <c r="H12" s="53"/>
      <c r="I12" s="53"/>
      <c r="J12" s="52"/>
      <c r="K12" s="53"/>
      <c r="L12" s="53"/>
      <c r="M12" s="53"/>
      <c r="N12" s="26"/>
      <c r="O12" s="79" t="str">
        <f>IF(((D12=D10)*AND(E12=E10)*AND(F12=F10)*AND(G12=G10)*AND(H12=H10)*AND(I12=I10)*AND(K12=K10)*AND(L12=L10)*AND(M12=M10)*AND(J12=J10)),"   ","Нужно заполнить пункт 1 текстовой формы - расхождения между данными субъектов РФ и данными реестра...)")</f>
        <v>Нужно заполнить пункт 1 текстовой формы - расхождения между данными субъектов РФ и данными реестра...)</v>
      </c>
      <c r="P12" s="40"/>
    </row>
    <row r="13" spans="1:16" s="21" customFormat="1" ht="30" x14ac:dyDescent="0.25">
      <c r="B13" s="106" t="s">
        <v>554</v>
      </c>
      <c r="C13" s="215" t="s">
        <v>40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33"/>
      <c r="O13" s="74"/>
      <c r="P13" s="40"/>
    </row>
    <row r="14" spans="1:16" s="73" customFormat="1" ht="30" x14ac:dyDescent="0.25">
      <c r="B14" s="108" t="s">
        <v>230</v>
      </c>
      <c r="C14" s="217" t="s">
        <v>400</v>
      </c>
      <c r="D14" s="72">
        <f t="shared" ref="D14:D37" si="1">SUM(E14:I14)+SUM(K14:M14)</f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37" t="str">
        <f>IF((D14&lt;=D$10)*AND(E14&lt;=E$10)*AND(F14&lt;=F$10)*AND(G14&lt;=G$10)*AND(H14&lt;=H$10)*AND(I14&lt;=I$10)*AND(K14&lt;=K$10)*AND(L14&lt;=L$10)*AND(M14&lt;=M$10)*AND(J14&lt;=J$10),"Выполнено","ПРОВЕРИТЬ (таких муниципальных образований не может быть больше их общего числа)")</f>
        <v>Выполнено</v>
      </c>
      <c r="O14" s="79" t="str">
        <f>IF(((D14=0)),"   ","Нужно заполнить пункт 2 текстовой части (приграничные...)")</f>
        <v xml:space="preserve">   </v>
      </c>
      <c r="P14" s="40"/>
    </row>
    <row r="15" spans="1:16" s="73" customFormat="1" ht="30" x14ac:dyDescent="0.25">
      <c r="B15" s="108" t="s">
        <v>231</v>
      </c>
      <c r="C15" s="217" t="s">
        <v>43</v>
      </c>
      <c r="D15" s="72">
        <f t="shared" si="1"/>
        <v>0</v>
      </c>
      <c r="E15" s="53"/>
      <c r="F15" s="53"/>
      <c r="G15" s="53"/>
      <c r="H15" s="53"/>
      <c r="I15" s="53"/>
      <c r="J15" s="53"/>
      <c r="K15" s="53"/>
      <c r="L15" s="53"/>
      <c r="M15" s="53"/>
      <c r="N15" s="37" t="str">
        <f>IF((D15&lt;=D$10)*AND(E15&lt;=E$10)*AND(F15&lt;=F$10)*AND(G15&lt;=G$10)*AND(H15&lt;=H$10)*AND(I15&lt;=I$10)*AND(K15&lt;=K$10)*AND(L15&lt;=L$10)*AND(M15&lt;=M$10)*AND(J15&lt;=J$10),"Выполнено","ПРОВЕРИТЬ (таких муниципальных образований не может быть больше их общего числа)")</f>
        <v>Выполнено</v>
      </c>
      <c r="O15" s="79" t="str">
        <f>IF(((D15=0)),"   ","Нужно заполнить пункт 3 текстовой части (имеющие выход к морю...)")</f>
        <v xml:space="preserve">   </v>
      </c>
      <c r="P15" s="40"/>
    </row>
    <row r="16" spans="1:16" s="73" customFormat="1" ht="30" x14ac:dyDescent="0.25">
      <c r="B16" s="108" t="s">
        <v>232</v>
      </c>
      <c r="C16" s="217" t="s">
        <v>570</v>
      </c>
      <c r="D16" s="72">
        <f t="shared" si="1"/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37" t="str">
        <f>IF((D16&lt;=D$10)*AND(E16&lt;=E$10)*AND(F16&lt;=F$10)*AND(G16&lt;=G$10)*AND(H16&lt;=H$10)*AND(I16&lt;=I$10)*AND(K16&lt;=K$10)*AND(L16&lt;=L$10)*AND(M16&lt;=M$10)*AND(J16&lt;=J$10),"Выполнено","ПРОВЕРИТЬ (таких муниципальных образований не может быть больше их общего числа)")</f>
        <v>Выполнено</v>
      </c>
      <c r="O16" s="79" t="str">
        <f>IF(((D16=0)),"   ","Нужно заполнить пункт 4 текстовой части (расположенные на островах...)")</f>
        <v xml:space="preserve">   </v>
      </c>
      <c r="P16" s="40"/>
    </row>
    <row r="17" spans="2:16" ht="30" x14ac:dyDescent="0.25">
      <c r="B17" s="106" t="s">
        <v>332</v>
      </c>
      <c r="C17" s="215" t="s">
        <v>44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33"/>
      <c r="O17" s="74"/>
      <c r="P17" s="39"/>
    </row>
    <row r="18" spans="2:16" ht="30" x14ac:dyDescent="0.25">
      <c r="B18" s="107" t="s">
        <v>314</v>
      </c>
      <c r="C18" s="216" t="s">
        <v>45</v>
      </c>
      <c r="D18" s="72">
        <f t="shared" si="1"/>
        <v>12</v>
      </c>
      <c r="E18" s="133">
        <f>SUM(E19:E26)</f>
        <v>1</v>
      </c>
      <c r="F18" s="133">
        <f t="shared" ref="F18:M18" si="2">SUM(F19:F26)</f>
        <v>0</v>
      </c>
      <c r="G18" s="133">
        <f t="shared" si="2"/>
        <v>11</v>
      </c>
      <c r="H18" s="133">
        <f t="shared" si="2"/>
        <v>0</v>
      </c>
      <c r="I18" s="133">
        <f t="shared" si="2"/>
        <v>0</v>
      </c>
      <c r="J18" s="133">
        <f>SUM(J19:J26)</f>
        <v>0</v>
      </c>
      <c r="K18" s="133">
        <f t="shared" si="2"/>
        <v>0</v>
      </c>
      <c r="L18" s="133">
        <f t="shared" si="2"/>
        <v>0</v>
      </c>
      <c r="M18" s="133">
        <f t="shared" si="2"/>
        <v>0</v>
      </c>
      <c r="N18" s="37" t="str">
        <f>IF((D18=D$10)*AND(E18=E$10)*AND(F18=F$10)*AND(G18=G$10)*AND(H18=H$10)*AND(I18=I$10)*AND(K18=K$10)*AND(L18=L$10)*AND(M18=M$10)*AND(J18=J$10),"Выполнено","ПРОВЕРИТЬ (в сумме должно получиться общее число муниципальных образований)")</f>
        <v>Выполнено</v>
      </c>
      <c r="O18" s="26"/>
      <c r="P18" s="41"/>
    </row>
    <row r="19" spans="2:16" x14ac:dyDescent="0.25">
      <c r="B19" s="108" t="s">
        <v>237</v>
      </c>
      <c r="C19" s="217" t="s">
        <v>1427</v>
      </c>
      <c r="D19" s="72">
        <f t="shared" si="1"/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26"/>
      <c r="O19" s="79" t="str">
        <f>IF(((D19=0)),"   ","Нужно заполнить пункт 5 текстовой части (муниципалитеты с нехарактерно малой площадью...)")</f>
        <v xml:space="preserve">   </v>
      </c>
      <c r="P19" s="41"/>
    </row>
    <row r="20" spans="2:16" x14ac:dyDescent="0.25">
      <c r="B20" s="108" t="s">
        <v>238</v>
      </c>
      <c r="C20" s="217" t="s">
        <v>1428</v>
      </c>
      <c r="D20" s="72">
        <f t="shared" si="1"/>
        <v>1</v>
      </c>
      <c r="E20" s="53"/>
      <c r="F20" s="52"/>
      <c r="G20" s="52">
        <v>1</v>
      </c>
      <c r="H20" s="53"/>
      <c r="I20" s="53"/>
      <c r="J20" s="53"/>
      <c r="K20" s="53"/>
      <c r="L20" s="52"/>
      <c r="M20" s="52"/>
      <c r="N20" s="26"/>
      <c r="O20" s="79" t="str">
        <f>IF(((E20+H20+I20+K20=0)),"   ","Нужно заполнить пункт 5 текстовой части (муниципалитеты с нехарактерно малой площадью...)")</f>
        <v xml:space="preserve">   </v>
      </c>
      <c r="P20" s="41"/>
    </row>
    <row r="21" spans="2:16" x14ac:dyDescent="0.25">
      <c r="B21" s="108" t="s">
        <v>239</v>
      </c>
      <c r="C21" s="217" t="s">
        <v>1429</v>
      </c>
      <c r="D21" s="72">
        <f t="shared" si="1"/>
        <v>10</v>
      </c>
      <c r="E21" s="53"/>
      <c r="F21" s="52"/>
      <c r="G21" s="52">
        <v>10</v>
      </c>
      <c r="H21" s="53"/>
      <c r="I21" s="52"/>
      <c r="J21" s="52"/>
      <c r="K21" s="52"/>
      <c r="L21" s="52"/>
      <c r="M21" s="52"/>
      <c r="N21" s="26"/>
      <c r="O21" s="79" t="str">
        <f>IF(((E21+H21=0)),"   ","Нужно заполнить пункт 5 текстовой части (муниципалитеты с нехарактерно малой площадью...)")</f>
        <v xml:space="preserve">   </v>
      </c>
      <c r="P21" s="39"/>
    </row>
    <row r="22" spans="2:16" x14ac:dyDescent="0.25">
      <c r="B22" s="107" t="s">
        <v>33</v>
      </c>
      <c r="C22" s="216" t="s">
        <v>1430</v>
      </c>
      <c r="D22" s="72">
        <f t="shared" si="1"/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26"/>
      <c r="O22" s="26"/>
      <c r="P22" s="42"/>
    </row>
    <row r="23" spans="2:16" x14ac:dyDescent="0.25">
      <c r="B23" s="108" t="s">
        <v>240</v>
      </c>
      <c r="C23" s="217" t="s">
        <v>1431</v>
      </c>
      <c r="D23" s="72">
        <f t="shared" si="1"/>
        <v>1</v>
      </c>
      <c r="E23" s="52">
        <v>1</v>
      </c>
      <c r="F23" s="53"/>
      <c r="G23" s="53"/>
      <c r="H23" s="52"/>
      <c r="I23" s="53"/>
      <c r="J23" s="53"/>
      <c r="K23" s="53"/>
      <c r="L23" s="53"/>
      <c r="M23" s="53"/>
      <c r="N23" s="26"/>
      <c r="O23" s="79" t="str">
        <f>IF(((F23+G23+I23+K23+L23+M23=0)),"   ","Нужно заполнить пункт 5 текстовой части (муниципалитеты с нехарактерно Большой площадью...)")</f>
        <v xml:space="preserve">   </v>
      </c>
      <c r="P23" s="40"/>
    </row>
    <row r="24" spans="2:16" x14ac:dyDescent="0.25">
      <c r="B24" s="108" t="s">
        <v>241</v>
      </c>
      <c r="C24" s="217" t="s">
        <v>1432</v>
      </c>
      <c r="D24" s="72">
        <f t="shared" si="1"/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26"/>
      <c r="O24" s="79" t="str">
        <f>IF(((D24=0)),"   ","Нужно заполнить пункт 5 текстовой части (муниципалитеты с нехарактерно большой площадью...)")</f>
        <v xml:space="preserve">   </v>
      </c>
      <c r="P24" s="40"/>
    </row>
    <row r="25" spans="2:16" x14ac:dyDescent="0.25">
      <c r="B25" s="108" t="s">
        <v>242</v>
      </c>
      <c r="C25" s="217" t="s">
        <v>46</v>
      </c>
      <c r="D25" s="72">
        <f t="shared" si="1"/>
        <v>0</v>
      </c>
      <c r="E25" s="53"/>
      <c r="F25" s="53"/>
      <c r="G25" s="53"/>
      <c r="H25" s="53"/>
      <c r="I25" s="53"/>
      <c r="J25" s="53"/>
      <c r="K25" s="53"/>
      <c r="L25" s="53"/>
      <c r="M25" s="53"/>
      <c r="N25" s="26"/>
      <c r="O25" s="79" t="str">
        <f>IF(((D25=0)),"   ","Нужно заполнить пункт 5 текстовой части (муниципалитеты с нехарактерно большой площадью...)")</f>
        <v xml:space="preserve">   </v>
      </c>
      <c r="P25" s="40"/>
    </row>
    <row r="26" spans="2:16" x14ac:dyDescent="0.25">
      <c r="B26" s="107" t="s">
        <v>243</v>
      </c>
      <c r="C26" s="216" t="s">
        <v>205</v>
      </c>
      <c r="D26" s="72">
        <f t="shared" si="1"/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26"/>
      <c r="O26" s="26"/>
      <c r="P26" s="40"/>
    </row>
    <row r="27" spans="2:16" ht="30" x14ac:dyDescent="0.25">
      <c r="B27" s="107" t="s">
        <v>244</v>
      </c>
      <c r="C27" s="216" t="s">
        <v>47</v>
      </c>
      <c r="D27" s="72">
        <f t="shared" si="1"/>
        <v>0</v>
      </c>
      <c r="E27" s="133">
        <f t="shared" ref="E27:M27" si="3">SUM(E28:E37)</f>
        <v>0</v>
      </c>
      <c r="F27" s="133">
        <f t="shared" si="3"/>
        <v>0</v>
      </c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37" t="str">
        <f>IF((D27=D$10)*AND(E27=E$10)*AND(F27=F$10)*AND(G27=G$10)*AND(H27=H$10)*AND(I27=I$10)*AND(K27=K$10)*AND(L27=L$10)*AND(M27=M$10)*AND(J27=J$10),"Выполнено","ПРОВЕРИТЬ (в сумме должно получиться общее число муниципальных образований)")</f>
        <v>ПРОВЕРИТЬ (в сумме должно получиться общее число муниципальных образований)</v>
      </c>
      <c r="O27" s="26"/>
      <c r="P27" s="40"/>
    </row>
    <row r="28" spans="2:16" x14ac:dyDescent="0.25">
      <c r="B28" s="108" t="s">
        <v>245</v>
      </c>
      <c r="C28" s="217" t="s">
        <v>312</v>
      </c>
      <c r="D28" s="72">
        <f t="shared" si="1"/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26"/>
      <c r="O28" s="79" t="str">
        <f>IF(((D28=0)),"   ","Нужно заполнить пункт 6 текстовой части (муниципалитеты с нехарактерно низкой численностью населения...)")</f>
        <v xml:space="preserve">   </v>
      </c>
      <c r="P28" s="40"/>
    </row>
    <row r="29" spans="2:16" x14ac:dyDescent="0.25">
      <c r="B29" s="108" t="s">
        <v>246</v>
      </c>
      <c r="C29" s="217" t="s">
        <v>855</v>
      </c>
      <c r="D29" s="72">
        <f t="shared" si="1"/>
        <v>0</v>
      </c>
      <c r="E29" s="53"/>
      <c r="F29" s="53"/>
      <c r="G29" s="54"/>
      <c r="H29" s="53"/>
      <c r="I29" s="53"/>
      <c r="J29" s="53"/>
      <c r="K29" s="53"/>
      <c r="L29" s="53"/>
      <c r="M29" s="53"/>
      <c r="N29" s="26"/>
      <c r="O29" s="79" t="str">
        <f>IF(((D29-G29=0)),"   ","Нужно заполнить пункт 6 текстовой части (муниципалитеты с нехарактерно низкой численностью населения...)")</f>
        <v xml:space="preserve">   </v>
      </c>
      <c r="P29" s="42"/>
    </row>
    <row r="30" spans="2:16" s="21" customFormat="1" x14ac:dyDescent="0.25">
      <c r="B30" s="108" t="s">
        <v>857</v>
      </c>
      <c r="C30" s="217" t="s">
        <v>856</v>
      </c>
      <c r="D30" s="72">
        <f t="shared" si="1"/>
        <v>0</v>
      </c>
      <c r="E30" s="52"/>
      <c r="F30" s="52"/>
      <c r="G30" s="52"/>
      <c r="H30" s="52"/>
      <c r="I30" s="53"/>
      <c r="J30" s="53"/>
      <c r="K30" s="53"/>
      <c r="L30" s="52"/>
      <c r="M30" s="52"/>
      <c r="N30" s="26"/>
      <c r="O30" s="79" t="str">
        <f>IF(((I30+K30=0)),"   ","Нужно заполнить пункт 6 текстовой части (муниципалитеты с нехарактерно низкой численностью населения...)")</f>
        <v xml:space="preserve">   </v>
      </c>
      <c r="P30" s="40"/>
    </row>
    <row r="31" spans="2:16" x14ac:dyDescent="0.25">
      <c r="B31" s="108" t="s">
        <v>313</v>
      </c>
      <c r="C31" s="217" t="s">
        <v>526</v>
      </c>
      <c r="D31" s="72">
        <f t="shared" si="1"/>
        <v>0</v>
      </c>
      <c r="E31" s="52"/>
      <c r="F31" s="52"/>
      <c r="G31" s="53"/>
      <c r="H31" s="52"/>
      <c r="I31" s="52"/>
      <c r="J31" s="52"/>
      <c r="K31" s="52"/>
      <c r="L31" s="52"/>
      <c r="M31" s="52"/>
      <c r="N31" s="26"/>
      <c r="O31" s="79" t="str">
        <f>IF(((G31=0)),"   ","Нужно заполнить пункт 6 текстовой части (муниципалитеты с нехарактерно высокой численностью населения...)")</f>
        <v xml:space="preserve">   </v>
      </c>
      <c r="P31" s="40"/>
    </row>
    <row r="32" spans="2:16" s="21" customFormat="1" x14ac:dyDescent="0.25">
      <c r="B32" s="108" t="s">
        <v>281</v>
      </c>
      <c r="C32" s="217" t="s">
        <v>858</v>
      </c>
      <c r="D32" s="72">
        <f t="shared" si="1"/>
        <v>0</v>
      </c>
      <c r="E32" s="52"/>
      <c r="F32" s="52"/>
      <c r="G32" s="53"/>
      <c r="H32" s="52"/>
      <c r="I32" s="52"/>
      <c r="J32" s="52"/>
      <c r="K32" s="52"/>
      <c r="L32" s="52"/>
      <c r="M32" s="52"/>
      <c r="N32" s="26"/>
      <c r="O32" s="79" t="str">
        <f>IF(((G32=0)),"   ","Нужно заполнить пункт 6 текстовой части (муниципалитеты с нехарактерно высокой численностью населения...)")</f>
        <v xml:space="preserve">   </v>
      </c>
      <c r="P32" s="40"/>
    </row>
    <row r="33" spans="2:16" x14ac:dyDescent="0.25">
      <c r="B33" s="108" t="s">
        <v>247</v>
      </c>
      <c r="C33" s="217" t="s">
        <v>405</v>
      </c>
      <c r="D33" s="72">
        <f t="shared" si="1"/>
        <v>0</v>
      </c>
      <c r="E33" s="52"/>
      <c r="F33" s="53"/>
      <c r="G33" s="53"/>
      <c r="H33" s="52"/>
      <c r="I33" s="52"/>
      <c r="J33" s="52"/>
      <c r="K33" s="52"/>
      <c r="L33" s="52"/>
      <c r="M33" s="52"/>
      <c r="N33" s="26"/>
      <c r="O33" s="79" t="str">
        <f>IF(((F33+G33=0)),"   ","Нужно заполнить пункт 6 текстовой части (муниципалитеты с нехарактерно высокой численностью населения...)")</f>
        <v xml:space="preserve">   </v>
      </c>
      <c r="P33" s="40"/>
    </row>
    <row r="34" spans="2:16" s="73" customFormat="1" x14ac:dyDescent="0.25">
      <c r="B34" s="108" t="s">
        <v>403</v>
      </c>
      <c r="C34" s="217" t="s">
        <v>1302</v>
      </c>
      <c r="D34" s="72">
        <f>SUM(E34:I34)+SUM(K34:M34)</f>
        <v>0</v>
      </c>
      <c r="E34" s="53"/>
      <c r="F34" s="53"/>
      <c r="G34" s="53"/>
      <c r="H34" s="52"/>
      <c r="I34" s="52"/>
      <c r="J34" s="52"/>
      <c r="K34" s="52"/>
      <c r="L34" s="53"/>
      <c r="M34" s="53"/>
      <c r="N34" s="26"/>
      <c r="O34" s="79"/>
      <c r="P34" s="40"/>
    </row>
    <row r="35" spans="2:16" s="73" customFormat="1" x14ac:dyDescent="0.25">
      <c r="B35" s="108" t="s">
        <v>404</v>
      </c>
      <c r="C35" s="217" t="s">
        <v>1303</v>
      </c>
      <c r="D35" s="72">
        <f>SUM(E35:I35)+SUM(K35:M35)</f>
        <v>0</v>
      </c>
      <c r="E35" s="53"/>
      <c r="F35" s="53"/>
      <c r="G35" s="53"/>
      <c r="H35" s="52"/>
      <c r="I35" s="52"/>
      <c r="J35" s="52"/>
      <c r="K35" s="52"/>
      <c r="L35" s="53"/>
      <c r="M35" s="53"/>
      <c r="N35" s="26"/>
      <c r="O35" s="79"/>
      <c r="P35" s="40"/>
    </row>
    <row r="36" spans="2:16" s="21" customFormat="1" x14ac:dyDescent="0.25">
      <c r="B36" s="108" t="s">
        <v>1300</v>
      </c>
      <c r="C36" s="217" t="s">
        <v>1304</v>
      </c>
      <c r="D36" s="72">
        <f t="shared" si="1"/>
        <v>0</v>
      </c>
      <c r="E36" s="53"/>
      <c r="F36" s="53"/>
      <c r="G36" s="53"/>
      <c r="H36" s="53"/>
      <c r="I36" s="52"/>
      <c r="J36" s="52"/>
      <c r="K36" s="52"/>
      <c r="L36" s="53"/>
      <c r="M36" s="53"/>
      <c r="N36" s="26"/>
      <c r="O36" s="79" t="str">
        <f>IF(((E36+F36+G36+H36+L36+M36=0)),"   ","Нужно заполнить пункт 6 текстовой части (муниципалитеты с нехарактерно высокой численностью населения...)")</f>
        <v xml:space="preserve">   </v>
      </c>
      <c r="P36" s="40"/>
    </row>
    <row r="37" spans="2:16" s="21" customFormat="1" x14ac:dyDescent="0.25">
      <c r="B37" s="108" t="s">
        <v>1301</v>
      </c>
      <c r="C37" s="217" t="s">
        <v>48</v>
      </c>
      <c r="D37" s="72">
        <f t="shared" si="1"/>
        <v>0</v>
      </c>
      <c r="E37" s="53"/>
      <c r="F37" s="53"/>
      <c r="G37" s="53"/>
      <c r="H37" s="53"/>
      <c r="I37" s="52"/>
      <c r="J37" s="52"/>
      <c r="K37" s="52"/>
      <c r="L37" s="53"/>
      <c r="M37" s="53"/>
      <c r="N37" s="26"/>
      <c r="O37" s="79" t="str">
        <f>IF(((E37+F37+G37+H37+L37+M37=0)),"   ","Нужно заполнить пункт 6 текстовой части (муниципалитеты с нехарактерно высокой численностью населения...)")</f>
        <v xml:space="preserve">   </v>
      </c>
      <c r="P37" s="40"/>
    </row>
    <row r="38" spans="2:16" s="21" customFormat="1" ht="45" x14ac:dyDescent="0.25">
      <c r="B38" s="107" t="s">
        <v>406</v>
      </c>
      <c r="C38" s="216" t="s">
        <v>1433</v>
      </c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33"/>
      <c r="O38" s="74"/>
      <c r="P38" s="40"/>
    </row>
    <row r="39" spans="2:16" s="21" customFormat="1" ht="30" x14ac:dyDescent="0.25">
      <c r="B39" s="107" t="s">
        <v>407</v>
      </c>
      <c r="C39" s="216" t="s">
        <v>859</v>
      </c>
      <c r="D39" s="72">
        <f>E39+H39+I39+K39</f>
        <v>0</v>
      </c>
      <c r="E39" s="134"/>
      <c r="F39" s="57"/>
      <c r="G39" s="46"/>
      <c r="H39" s="52"/>
      <c r="I39" s="52"/>
      <c r="J39" s="134"/>
      <c r="K39" s="52"/>
      <c r="L39" s="57"/>
      <c r="M39" s="46"/>
      <c r="N39" s="37" t="str">
        <f>IF((D39&lt;=D$10)*AND(E39&lt;=E$10)*AND(H39&lt;=H$10)*AND(I39&lt;=I$10)*AND(K39&lt;=K$10)*AND(J39&lt;=J$10),"Выполнено","ПРОВЕРИТЬ (таких муниципальных образований не может быть больше чем всего муниципальных образований соответствующего вида)")</f>
        <v>Выполнено</v>
      </c>
      <c r="O39" s="79" t="str">
        <f>IF(((I39-I10=0)),"   ","Нужно заполнить пункт 7 текстовой части (городские округа, не соответствующие установленным критериям...)")</f>
        <v xml:space="preserve">   </v>
      </c>
      <c r="P39" s="40"/>
    </row>
    <row r="40" spans="2:16" ht="45" x14ac:dyDescent="0.25">
      <c r="B40" s="107" t="s">
        <v>408</v>
      </c>
      <c r="C40" s="216" t="s">
        <v>860</v>
      </c>
      <c r="D40" s="72">
        <f t="shared" ref="D40:D42" si="4">E40+H40+I40+K40</f>
        <v>0</v>
      </c>
      <c r="E40" s="134"/>
      <c r="F40" s="57"/>
      <c r="G40" s="46"/>
      <c r="H40" s="52"/>
      <c r="I40" s="52"/>
      <c r="J40" s="134"/>
      <c r="K40" s="52"/>
      <c r="L40" s="57"/>
      <c r="M40" s="46"/>
      <c r="N40" s="37" t="str">
        <f>IF((D40&lt;=D$10)*AND(E40&lt;=E$10)*AND(H40&lt;=H$10)*AND(I40&lt;=I$10)*AND(K40&lt;=K$10)*AND(J40&lt;=J$10),"Выполнено","ПРОВЕРИТЬ (таких муниципальных образований не может быть больше чем всего муниципальных образований соответствующего вида)")</f>
        <v>Выполнено</v>
      </c>
      <c r="O40" s="79" t="str">
        <f>IF(((I40-I10=0)),"   ","Нужно заполнить пункт 7 текстовой части (городские округа, не соответствующие установленным критериям...)")</f>
        <v xml:space="preserve">   </v>
      </c>
      <c r="P40" s="40"/>
    </row>
    <row r="41" spans="2:16" ht="30" x14ac:dyDescent="0.25">
      <c r="B41" s="107" t="s">
        <v>409</v>
      </c>
      <c r="C41" s="216" t="s">
        <v>861</v>
      </c>
      <c r="D41" s="72">
        <f t="shared" si="4"/>
        <v>0</v>
      </c>
      <c r="E41" s="134"/>
      <c r="F41" s="57"/>
      <c r="G41" s="46"/>
      <c r="H41" s="52"/>
      <c r="I41" s="52"/>
      <c r="J41" s="134"/>
      <c r="K41" s="52"/>
      <c r="L41" s="57"/>
      <c r="M41" s="46"/>
      <c r="N41" s="37" t="str">
        <f>IF((D41&lt;=D$10)*AND(E41&lt;=E$10)*AND(H41&lt;=H$10)*AND(I41&lt;=I$10)*AND(K41&lt;=K$10)*AND(J41&lt;=J$10),"Выполнено","ПРОВЕРИТЬ (таких муниципальных образований не может быть больше чем всего муниципальных образований соответствующего вида)")</f>
        <v>Выполнено</v>
      </c>
      <c r="O41" s="79" t="str">
        <f>IF(((I41-I10=0)),"   ","Нужно заполнить пункт 7 текстовой части (городские округа, не соответствующие установленным критериям...)")</f>
        <v xml:space="preserve">   </v>
      </c>
      <c r="P41" s="40"/>
    </row>
    <row r="42" spans="2:16" s="21" customFormat="1" ht="45" x14ac:dyDescent="0.25">
      <c r="B42" s="107" t="s">
        <v>410</v>
      </c>
      <c r="C42" s="216" t="s">
        <v>1434</v>
      </c>
      <c r="D42" s="72">
        <f t="shared" si="4"/>
        <v>0</v>
      </c>
      <c r="E42" s="134"/>
      <c r="F42" s="57"/>
      <c r="G42" s="46"/>
      <c r="H42" s="52"/>
      <c r="I42" s="52"/>
      <c r="J42" s="134"/>
      <c r="K42" s="52"/>
      <c r="L42" s="57"/>
      <c r="M42" s="46"/>
      <c r="N42" s="37" t="str">
        <f>IF((D42&lt;=MIN(D39,D40,D41))*AND(E42&lt;=MIN(E39,E40,E41))*AND(H42&lt;=MIN(H39,H40,H41))*AND(I42&lt;=MIN(I39,I40,I41))*AND(K42&lt;=MIN(K39,K40,K41))*AND(J42&lt;=MIN(J39,J40,J41)),"Выполнено","ПРОВЕРИТЬ (муниципальных образований, соответствующих всем трем критериям одновременно, не может быть больше, чем соответствующих каждому из них)")</f>
        <v>Выполнено</v>
      </c>
      <c r="O42" s="79" t="str">
        <f>IF(((I42-I10=0)),"   ","Нужно заполнить пункт 7 текстовой части (городские округа, не соответствующие установленным критериям...)")</f>
        <v xml:space="preserve">   </v>
      </c>
      <c r="P42" s="42"/>
    </row>
    <row r="43" spans="2:16" s="21" customFormat="1" ht="30" x14ac:dyDescent="0.25">
      <c r="B43" s="106" t="s">
        <v>333</v>
      </c>
      <c r="C43" s="215" t="s">
        <v>49</v>
      </c>
      <c r="D43" s="55"/>
      <c r="E43" s="56"/>
      <c r="F43" s="56"/>
      <c r="G43" s="56"/>
      <c r="H43" s="56"/>
      <c r="I43" s="56"/>
      <c r="J43" s="56"/>
      <c r="K43" s="56"/>
      <c r="L43" s="56"/>
      <c r="M43" s="56"/>
      <c r="N43" s="33"/>
      <c r="O43" s="74"/>
      <c r="P43" s="40"/>
    </row>
    <row r="44" spans="2:16" s="21" customFormat="1" ht="30" x14ac:dyDescent="0.25">
      <c r="B44" s="107" t="s">
        <v>411</v>
      </c>
      <c r="C44" s="216" t="s">
        <v>252</v>
      </c>
      <c r="D44" s="72">
        <f>E44</f>
        <v>1</v>
      </c>
      <c r="E44" s="133">
        <f>SUM(E45:E49)</f>
        <v>1</v>
      </c>
      <c r="F44" s="57"/>
      <c r="G44" s="46"/>
      <c r="H44" s="46"/>
      <c r="I44" s="46"/>
      <c r="J44" s="58"/>
      <c r="K44" s="46"/>
      <c r="L44" s="46"/>
      <c r="M44" s="46"/>
      <c r="N44" s="37" t="str">
        <f>IF((E44=E$10),"Выполнено","ПРОВЕРИТЬ (в сумме должно получиться общее число муниципальных районов)")</f>
        <v>Выполнено</v>
      </c>
      <c r="O44" s="26"/>
      <c r="P44" s="40"/>
    </row>
    <row r="45" spans="2:16" s="21" customFormat="1" x14ac:dyDescent="0.25">
      <c r="B45" s="108" t="s">
        <v>250</v>
      </c>
      <c r="C45" s="217" t="s">
        <v>308</v>
      </c>
      <c r="D45" s="72">
        <f t="shared" ref="D45:D54" si="5">E45</f>
        <v>0</v>
      </c>
      <c r="E45" s="135"/>
      <c r="F45" s="57"/>
      <c r="G45" s="46"/>
      <c r="H45" s="46"/>
      <c r="I45" s="46"/>
      <c r="J45" s="58"/>
      <c r="K45" s="46"/>
      <c r="L45" s="46"/>
      <c r="M45" s="46"/>
      <c r="N45" s="26"/>
      <c r="O45" s="79" t="str">
        <f>IF(((E45=0)),"   ","Нужно заполнить пункт 8 текстовой части (муниципальные районы с 1-2 поселениями или без поселений.)")</f>
        <v xml:space="preserve">   </v>
      </c>
      <c r="P45" s="40"/>
    </row>
    <row r="46" spans="2:16" s="21" customFormat="1" x14ac:dyDescent="0.25">
      <c r="B46" s="107" t="s">
        <v>178</v>
      </c>
      <c r="C46" s="216" t="s">
        <v>414</v>
      </c>
      <c r="D46" s="72">
        <f t="shared" si="5"/>
        <v>0</v>
      </c>
      <c r="E46" s="134"/>
      <c r="F46" s="57"/>
      <c r="G46" s="46"/>
      <c r="H46" s="46"/>
      <c r="I46" s="46"/>
      <c r="J46" s="58"/>
      <c r="K46" s="46"/>
      <c r="L46" s="46"/>
      <c r="M46" s="46"/>
      <c r="N46" s="26"/>
      <c r="O46" s="26"/>
      <c r="P46" s="40"/>
    </row>
    <row r="47" spans="2:16" x14ac:dyDescent="0.25">
      <c r="B47" s="107" t="s">
        <v>179</v>
      </c>
      <c r="C47" s="216" t="s">
        <v>415</v>
      </c>
      <c r="D47" s="72">
        <f t="shared" si="5"/>
        <v>0</v>
      </c>
      <c r="E47" s="134"/>
      <c r="F47" s="57"/>
      <c r="G47" s="46"/>
      <c r="H47" s="46"/>
      <c r="I47" s="46"/>
      <c r="J47" s="58"/>
      <c r="K47" s="46"/>
      <c r="L47" s="46"/>
      <c r="M47" s="46"/>
      <c r="N47" s="26"/>
      <c r="O47" s="26"/>
      <c r="P47" s="39"/>
    </row>
    <row r="48" spans="2:16" s="21" customFormat="1" x14ac:dyDescent="0.25">
      <c r="B48" s="107" t="s">
        <v>416</v>
      </c>
      <c r="C48" s="216" t="s">
        <v>248</v>
      </c>
      <c r="D48" s="72">
        <f t="shared" si="5"/>
        <v>0</v>
      </c>
      <c r="E48" s="134"/>
      <c r="F48" s="57"/>
      <c r="G48" s="46"/>
      <c r="H48" s="46"/>
      <c r="I48" s="46"/>
      <c r="J48" s="58"/>
      <c r="K48" s="46"/>
      <c r="L48" s="46"/>
      <c r="M48" s="46"/>
      <c r="N48" s="26"/>
      <c r="O48" s="26"/>
      <c r="P48" s="42"/>
    </row>
    <row r="49" spans="2:16" x14ac:dyDescent="0.25">
      <c r="B49" s="108" t="s">
        <v>417</v>
      </c>
      <c r="C49" s="217" t="s">
        <v>249</v>
      </c>
      <c r="D49" s="72">
        <f t="shared" si="5"/>
        <v>1</v>
      </c>
      <c r="E49" s="135">
        <v>1</v>
      </c>
      <c r="F49" s="57"/>
      <c r="G49" s="46"/>
      <c r="H49" s="46"/>
      <c r="I49" s="46"/>
      <c r="J49" s="58"/>
      <c r="K49" s="46"/>
      <c r="L49" s="46"/>
      <c r="M49" s="46"/>
      <c r="N49" s="26"/>
      <c r="O49" s="79" t="str">
        <f>IF(((E49=0)),"   ","Нужно заполнить пункт 8 текстовой части (муниципальные районы, состоящие из 21 и более поселений.)")</f>
        <v>Нужно заполнить пункт 8 текстовой части (муниципальные районы, состоящие из 21 и более поселений.)</v>
      </c>
      <c r="P49" s="40"/>
    </row>
    <row r="50" spans="2:16" ht="30" x14ac:dyDescent="0.25">
      <c r="B50" s="107" t="s">
        <v>309</v>
      </c>
      <c r="C50" s="216" t="s">
        <v>251</v>
      </c>
      <c r="D50" s="72">
        <f t="shared" si="5"/>
        <v>1</v>
      </c>
      <c r="E50" s="133">
        <f>SUM(E51:E53)</f>
        <v>1</v>
      </c>
      <c r="F50" s="57"/>
      <c r="G50" s="46"/>
      <c r="H50" s="46"/>
      <c r="I50" s="46"/>
      <c r="J50" s="58"/>
      <c r="K50" s="46"/>
      <c r="L50" s="46"/>
      <c r="M50" s="46"/>
      <c r="N50" s="37" t="str">
        <f>IF((E50=E$10),"Выполнено","ПРОВЕРИТЬ (в сумме должно получиться общее число муниципальных районов)")</f>
        <v>Выполнено</v>
      </c>
      <c r="O50" s="26"/>
      <c r="P50" s="40"/>
    </row>
    <row r="51" spans="2:16" s="21" customFormat="1" x14ac:dyDescent="0.25">
      <c r="B51" s="107" t="s">
        <v>310</v>
      </c>
      <c r="C51" s="216" t="s">
        <v>233</v>
      </c>
      <c r="D51" s="72">
        <f t="shared" si="5"/>
        <v>0</v>
      </c>
      <c r="E51" s="134"/>
      <c r="F51" s="57"/>
      <c r="G51" s="46"/>
      <c r="H51" s="46"/>
      <c r="I51" s="46"/>
      <c r="J51" s="58"/>
      <c r="K51" s="46"/>
      <c r="L51" s="46"/>
      <c r="M51" s="46"/>
      <c r="N51" s="26"/>
      <c r="O51" s="26"/>
      <c r="P51" s="40"/>
    </row>
    <row r="52" spans="2:16" x14ac:dyDescent="0.25">
      <c r="B52" s="107" t="s">
        <v>253</v>
      </c>
      <c r="C52" s="216" t="s">
        <v>391</v>
      </c>
      <c r="D52" s="72">
        <f t="shared" si="5"/>
        <v>0</v>
      </c>
      <c r="E52" s="134"/>
      <c r="F52" s="57"/>
      <c r="G52" s="46"/>
      <c r="H52" s="46"/>
      <c r="I52" s="46"/>
      <c r="J52" s="58"/>
      <c r="K52" s="46"/>
      <c r="L52" s="46"/>
      <c r="M52" s="46"/>
      <c r="N52" s="26"/>
      <c r="O52" s="26"/>
      <c r="P52" s="40"/>
    </row>
    <row r="53" spans="2:16" x14ac:dyDescent="0.25">
      <c r="B53" s="107" t="s">
        <v>390</v>
      </c>
      <c r="C53" s="216" t="s">
        <v>392</v>
      </c>
      <c r="D53" s="72">
        <f t="shared" si="5"/>
        <v>1</v>
      </c>
      <c r="E53" s="134">
        <v>1</v>
      </c>
      <c r="F53" s="57"/>
      <c r="G53" s="46"/>
      <c r="H53" s="46"/>
      <c r="I53" s="46"/>
      <c r="J53" s="58"/>
      <c r="K53" s="46"/>
      <c r="L53" s="46"/>
      <c r="M53" s="46"/>
      <c r="N53" s="26"/>
      <c r="O53" s="26"/>
      <c r="P53" s="40"/>
    </row>
    <row r="54" spans="2:16" s="21" customFormat="1" ht="30" x14ac:dyDescent="0.25">
      <c r="B54" s="108" t="s">
        <v>254</v>
      </c>
      <c r="C54" s="217" t="s">
        <v>50</v>
      </c>
      <c r="D54" s="72">
        <f t="shared" si="5"/>
        <v>0</v>
      </c>
      <c r="E54" s="135"/>
      <c r="F54" s="59"/>
      <c r="G54" s="60"/>
      <c r="H54" s="60"/>
      <c r="I54" s="60"/>
      <c r="J54" s="61"/>
      <c r="K54" s="60"/>
      <c r="L54" s="60"/>
      <c r="M54" s="60"/>
      <c r="N54" s="37" t="str">
        <f>IF((E54&lt;=E$10),"Выполнено","ПРОВЕРИТЬ (таких муниципальных районов не может быть больше их общего числа)")</f>
        <v>Выполнено</v>
      </c>
      <c r="O54" s="79" t="str">
        <f>IF(((E54=0)),"   ","Нужно заполнить пункт 9 текстовой части 
(муниципальные районы с межселенными территориями")</f>
        <v xml:space="preserve">   </v>
      </c>
      <c r="P54" s="42"/>
    </row>
    <row r="55" spans="2:16" s="21" customFormat="1" ht="30" x14ac:dyDescent="0.25">
      <c r="B55" s="107" t="s">
        <v>256</v>
      </c>
      <c r="C55" s="216" t="s">
        <v>57</v>
      </c>
      <c r="D55" s="72">
        <f t="shared" ref="D55:D59" si="6">SUM(E55:I55)+SUM(K55:M55)</f>
        <v>12</v>
      </c>
      <c r="E55" s="133">
        <f>SUM(E56:E59)</f>
        <v>1</v>
      </c>
      <c r="F55" s="133">
        <f t="shared" ref="F55:K55" si="7">SUM(F56:F59)</f>
        <v>0</v>
      </c>
      <c r="G55" s="133">
        <f t="shared" si="7"/>
        <v>11</v>
      </c>
      <c r="H55" s="133">
        <f t="shared" si="7"/>
        <v>0</v>
      </c>
      <c r="I55" s="133">
        <f t="shared" si="7"/>
        <v>0</v>
      </c>
      <c r="J55" s="133">
        <f>SUM(J56:J59)</f>
        <v>0</v>
      </c>
      <c r="K55" s="133">
        <f t="shared" si="7"/>
        <v>0</v>
      </c>
      <c r="L55" s="133">
        <f t="shared" ref="L55:M55" si="8">SUM(L56:L61)</f>
        <v>0</v>
      </c>
      <c r="M55" s="133">
        <f t="shared" si="8"/>
        <v>0</v>
      </c>
      <c r="N55" s="37" t="str">
        <f>IF((D55=D$10)*AND(E55=E$10)*AND(F55=F$10)*AND(G55=G$10)*AND(H55=H$10)*AND(I55=I$10)*AND(K55=K$10)*AND(L55=L$10)*AND(M55=M$10)*AND(J55=J$10),"Выполнено","ПРОВЕРИТЬ (в сумме должно получиться общее число муниципальных образований)")</f>
        <v>Выполнено</v>
      </c>
      <c r="O55" s="26"/>
      <c r="P55" s="40"/>
    </row>
    <row r="56" spans="2:16" s="21" customFormat="1" ht="30" x14ac:dyDescent="0.25">
      <c r="B56" s="107" t="s">
        <v>34</v>
      </c>
      <c r="C56" s="216" t="s">
        <v>393</v>
      </c>
      <c r="D56" s="72">
        <f t="shared" si="6"/>
        <v>4</v>
      </c>
      <c r="E56" s="54"/>
      <c r="F56" s="54"/>
      <c r="G56" s="164">
        <v>4</v>
      </c>
      <c r="H56" s="54"/>
      <c r="I56" s="54"/>
      <c r="J56" s="134"/>
      <c r="K56" s="136"/>
      <c r="L56" s="136"/>
      <c r="M56" s="136"/>
      <c r="N56" s="26"/>
      <c r="O56" s="26"/>
      <c r="P56" s="40"/>
    </row>
    <row r="57" spans="2:16" s="21" customFormat="1" x14ac:dyDescent="0.25">
      <c r="B57" s="107" t="s">
        <v>53</v>
      </c>
      <c r="C57" s="216" t="s">
        <v>282</v>
      </c>
      <c r="D57" s="72">
        <f t="shared" si="6"/>
        <v>7</v>
      </c>
      <c r="E57" s="52"/>
      <c r="F57" s="52"/>
      <c r="G57" s="230">
        <v>7</v>
      </c>
      <c r="H57" s="52"/>
      <c r="I57" s="52"/>
      <c r="J57" s="134"/>
      <c r="K57" s="134"/>
      <c r="L57" s="134"/>
      <c r="M57" s="134"/>
      <c r="N57" s="26"/>
      <c r="O57" s="26"/>
      <c r="P57" s="40"/>
    </row>
    <row r="58" spans="2:16" x14ac:dyDescent="0.25">
      <c r="B58" s="107" t="s">
        <v>54</v>
      </c>
      <c r="C58" s="216" t="s">
        <v>255</v>
      </c>
      <c r="D58" s="72">
        <f t="shared" si="6"/>
        <v>1</v>
      </c>
      <c r="E58" s="164">
        <v>1</v>
      </c>
      <c r="F58" s="54"/>
      <c r="G58" s="54"/>
      <c r="H58" s="54"/>
      <c r="I58" s="54"/>
      <c r="J58" s="134"/>
      <c r="K58" s="136"/>
      <c r="L58" s="136"/>
      <c r="M58" s="136"/>
      <c r="N58" s="26"/>
      <c r="O58" s="26"/>
      <c r="P58" s="42"/>
    </row>
    <row r="59" spans="2:16" x14ac:dyDescent="0.25">
      <c r="B59" s="107" t="s">
        <v>257</v>
      </c>
      <c r="C59" s="216" t="s">
        <v>51</v>
      </c>
      <c r="D59" s="72">
        <f t="shared" si="6"/>
        <v>0</v>
      </c>
      <c r="E59" s="136"/>
      <c r="F59" s="136"/>
      <c r="G59" s="136"/>
      <c r="H59" s="136"/>
      <c r="I59" s="136"/>
      <c r="J59" s="134"/>
      <c r="K59" s="136"/>
      <c r="L59" s="136"/>
      <c r="M59" s="136"/>
      <c r="N59" s="26"/>
      <c r="O59" s="26"/>
      <c r="P59" s="42"/>
    </row>
    <row r="60" spans="2:16" x14ac:dyDescent="0.25">
      <c r="B60" s="107" t="s">
        <v>258</v>
      </c>
      <c r="C60" s="216" t="s">
        <v>412</v>
      </c>
      <c r="D60" s="72">
        <f>L60+M60</f>
        <v>0</v>
      </c>
      <c r="E60" s="62"/>
      <c r="F60" s="63"/>
      <c r="G60" s="63"/>
      <c r="H60" s="63"/>
      <c r="I60" s="63"/>
      <c r="J60" s="62"/>
      <c r="K60" s="64"/>
      <c r="L60" s="136"/>
      <c r="M60" s="136"/>
      <c r="N60" s="26"/>
      <c r="O60" s="26"/>
      <c r="P60" s="40"/>
    </row>
    <row r="61" spans="2:16" ht="30" x14ac:dyDescent="0.25">
      <c r="B61" s="107" t="s">
        <v>259</v>
      </c>
      <c r="C61" s="216" t="s">
        <v>52</v>
      </c>
      <c r="D61" s="72">
        <f>L61+M61</f>
        <v>0</v>
      </c>
      <c r="E61" s="59"/>
      <c r="F61" s="60"/>
      <c r="G61" s="60"/>
      <c r="H61" s="60"/>
      <c r="I61" s="60"/>
      <c r="J61" s="59"/>
      <c r="K61" s="60"/>
      <c r="L61" s="136"/>
      <c r="M61" s="136"/>
      <c r="N61" s="26"/>
      <c r="O61" s="26"/>
      <c r="P61" s="40"/>
    </row>
    <row r="62" spans="2:16" x14ac:dyDescent="0.25">
      <c r="B62" s="107" t="s">
        <v>260</v>
      </c>
      <c r="C62" s="216" t="s">
        <v>261</v>
      </c>
      <c r="D62" s="55"/>
      <c r="E62" s="56"/>
      <c r="F62" s="56"/>
      <c r="G62" s="56">
        <v>7</v>
      </c>
      <c r="H62" s="56"/>
      <c r="I62" s="56"/>
      <c r="J62" s="56"/>
      <c r="K62" s="56"/>
      <c r="L62" s="56"/>
      <c r="M62" s="56"/>
      <c r="N62" s="33"/>
      <c r="O62" s="74"/>
      <c r="P62" s="40"/>
    </row>
    <row r="63" spans="2:16" ht="30" x14ac:dyDescent="0.25">
      <c r="B63" s="107" t="s">
        <v>55</v>
      </c>
      <c r="C63" s="216" t="s">
        <v>413</v>
      </c>
      <c r="D63" s="72">
        <f>SUM(F63:I63)+K63</f>
        <v>0</v>
      </c>
      <c r="E63" s="65"/>
      <c r="F63" s="133">
        <f>SUM(F64:F66)</f>
        <v>0</v>
      </c>
      <c r="G63" s="133">
        <f t="shared" ref="G63:K63" si="9">SUM(G64:G66)</f>
        <v>0</v>
      </c>
      <c r="H63" s="133">
        <f t="shared" si="9"/>
        <v>0</v>
      </c>
      <c r="I63" s="133">
        <f t="shared" si="9"/>
        <v>0</v>
      </c>
      <c r="J63" s="133">
        <f t="shared" si="9"/>
        <v>0</v>
      </c>
      <c r="K63" s="133">
        <f t="shared" si="9"/>
        <v>0</v>
      </c>
      <c r="L63" s="62"/>
      <c r="M63" s="64"/>
      <c r="N63" s="26"/>
      <c r="O63" s="26"/>
      <c r="P63" s="40"/>
    </row>
    <row r="64" spans="2:16" x14ac:dyDescent="0.25">
      <c r="B64" s="107" t="s">
        <v>262</v>
      </c>
      <c r="C64" s="216" t="s">
        <v>265</v>
      </c>
      <c r="D64" s="72">
        <f t="shared" ref="D64:D66" si="10">SUM(F64:I64)+K64</f>
        <v>0</v>
      </c>
      <c r="E64" s="66"/>
      <c r="F64" s="136"/>
      <c r="G64" s="70"/>
      <c r="H64" s="136"/>
      <c r="I64" s="136"/>
      <c r="J64" s="134"/>
      <c r="K64" s="136"/>
      <c r="L64" s="57"/>
      <c r="M64" s="58"/>
      <c r="N64" s="26"/>
      <c r="O64" s="26"/>
      <c r="P64" s="40"/>
    </row>
    <row r="65" spans="2:16" x14ac:dyDescent="0.25">
      <c r="B65" s="107" t="s">
        <v>263</v>
      </c>
      <c r="C65" s="216" t="s">
        <v>266</v>
      </c>
      <c r="D65" s="72">
        <f t="shared" si="10"/>
        <v>0</v>
      </c>
      <c r="E65" s="66"/>
      <c r="F65" s="54"/>
      <c r="G65" s="164"/>
      <c r="H65" s="136"/>
      <c r="I65" s="136"/>
      <c r="J65" s="134"/>
      <c r="K65" s="136"/>
      <c r="L65" s="57"/>
      <c r="M65" s="58"/>
      <c r="N65" s="26"/>
      <c r="O65" s="26"/>
      <c r="P65" s="40"/>
    </row>
    <row r="66" spans="2:16" s="21" customFormat="1" x14ac:dyDescent="0.25">
      <c r="B66" s="107" t="s">
        <v>264</v>
      </c>
      <c r="C66" s="216" t="s">
        <v>267</v>
      </c>
      <c r="D66" s="72">
        <f t="shared" si="10"/>
        <v>0</v>
      </c>
      <c r="E66" s="67"/>
      <c r="F66" s="136"/>
      <c r="G66" s="164"/>
      <c r="H66" s="136"/>
      <c r="I66" s="136"/>
      <c r="J66" s="134"/>
      <c r="K66" s="136"/>
      <c r="L66" s="59"/>
      <c r="M66" s="61"/>
      <c r="N66" s="26"/>
      <c r="O66" s="26"/>
      <c r="P66" s="39"/>
    </row>
    <row r="67" spans="2:16" ht="30" x14ac:dyDescent="0.25">
      <c r="B67" s="107" t="s">
        <v>56</v>
      </c>
      <c r="C67" s="216" t="s">
        <v>268</v>
      </c>
      <c r="D67" s="72">
        <f t="shared" ref="D67:D69" si="11">E67</f>
        <v>0</v>
      </c>
      <c r="E67" s="133">
        <f>SUM(E68:E69)</f>
        <v>0</v>
      </c>
      <c r="F67" s="62"/>
      <c r="G67" s="63"/>
      <c r="H67" s="63"/>
      <c r="I67" s="63"/>
      <c r="J67" s="64"/>
      <c r="K67" s="63"/>
      <c r="L67" s="63"/>
      <c r="M67" s="63"/>
      <c r="N67" s="26"/>
      <c r="O67" s="26"/>
      <c r="P67" s="40"/>
    </row>
    <row r="68" spans="2:16" x14ac:dyDescent="0.25">
      <c r="B68" s="107" t="s">
        <v>270</v>
      </c>
      <c r="C68" s="216" t="s">
        <v>266</v>
      </c>
      <c r="D68" s="72">
        <f t="shared" si="11"/>
        <v>0</v>
      </c>
      <c r="E68" s="136"/>
      <c r="F68" s="57"/>
      <c r="G68" s="68"/>
      <c r="H68" s="68"/>
      <c r="I68" s="68"/>
      <c r="J68" s="58"/>
      <c r="K68" s="68"/>
      <c r="L68" s="68"/>
      <c r="M68" s="68"/>
      <c r="N68" s="26"/>
      <c r="O68" s="26"/>
      <c r="P68" s="40"/>
    </row>
    <row r="69" spans="2:16" x14ac:dyDescent="0.25">
      <c r="B69" s="107" t="s">
        <v>271</v>
      </c>
      <c r="C69" s="216" t="s">
        <v>267</v>
      </c>
      <c r="D69" s="72">
        <f t="shared" si="11"/>
        <v>0</v>
      </c>
      <c r="E69" s="136"/>
      <c r="F69" s="59"/>
      <c r="G69" s="60"/>
      <c r="H69" s="60"/>
      <c r="I69" s="60"/>
      <c r="J69" s="61"/>
      <c r="K69" s="60"/>
      <c r="L69" s="60"/>
      <c r="M69" s="60"/>
      <c r="N69" s="26"/>
      <c r="O69" s="26"/>
      <c r="P69" s="40"/>
    </row>
    <row r="70" spans="2:16" ht="30" x14ac:dyDescent="0.25">
      <c r="B70" s="107" t="s">
        <v>272</v>
      </c>
      <c r="C70" s="216" t="s">
        <v>269</v>
      </c>
      <c r="D70" s="72">
        <f>M70</f>
        <v>0</v>
      </c>
      <c r="E70" s="62"/>
      <c r="F70" s="63"/>
      <c r="G70" s="63"/>
      <c r="H70" s="63"/>
      <c r="I70" s="63"/>
      <c r="J70" s="64"/>
      <c r="K70" s="63"/>
      <c r="L70" s="63"/>
      <c r="M70" s="133">
        <f t="shared" ref="M70" si="12">SUM(M71:M73)</f>
        <v>0</v>
      </c>
      <c r="N70" s="26"/>
      <c r="O70" s="26"/>
      <c r="P70" s="40"/>
    </row>
    <row r="71" spans="2:16" x14ac:dyDescent="0.25">
      <c r="B71" s="107" t="s">
        <v>273</v>
      </c>
      <c r="C71" s="216" t="s">
        <v>58</v>
      </c>
      <c r="D71" s="72">
        <f t="shared" ref="D71:D73" si="13">M71</f>
        <v>0</v>
      </c>
      <c r="E71" s="57"/>
      <c r="F71" s="68"/>
      <c r="G71" s="68"/>
      <c r="H71" s="68"/>
      <c r="I71" s="68"/>
      <c r="J71" s="58"/>
      <c r="K71" s="68"/>
      <c r="L71" s="68"/>
      <c r="M71" s="136"/>
      <c r="N71" s="26"/>
      <c r="O71" s="26"/>
      <c r="P71" s="40"/>
    </row>
    <row r="72" spans="2:16" x14ac:dyDescent="0.25">
      <c r="B72" s="107" t="s">
        <v>274</v>
      </c>
      <c r="C72" s="216" t="s">
        <v>59</v>
      </c>
      <c r="D72" s="72">
        <f t="shared" si="13"/>
        <v>0</v>
      </c>
      <c r="E72" s="57"/>
      <c r="F72" s="68"/>
      <c r="G72" s="68"/>
      <c r="H72" s="68"/>
      <c r="I72" s="68"/>
      <c r="J72" s="58"/>
      <c r="K72" s="68"/>
      <c r="L72" s="68"/>
      <c r="M72" s="136"/>
      <c r="N72" s="26"/>
      <c r="O72" s="26"/>
      <c r="P72" s="40"/>
    </row>
    <row r="73" spans="2:16" x14ac:dyDescent="0.25">
      <c r="B73" s="107" t="s">
        <v>275</v>
      </c>
      <c r="C73" s="216" t="s">
        <v>60</v>
      </c>
      <c r="D73" s="72">
        <f t="shared" si="13"/>
        <v>0</v>
      </c>
      <c r="E73" s="59"/>
      <c r="F73" s="60"/>
      <c r="G73" s="60"/>
      <c r="H73" s="60"/>
      <c r="I73" s="60"/>
      <c r="J73" s="61"/>
      <c r="K73" s="60"/>
      <c r="L73" s="60"/>
      <c r="M73" s="136"/>
      <c r="N73" s="26"/>
      <c r="O73" s="26"/>
      <c r="P73" s="40"/>
    </row>
    <row r="74" spans="2:16" s="15" customFormat="1" ht="30" x14ac:dyDescent="0.25">
      <c r="B74" s="107" t="s">
        <v>276</v>
      </c>
      <c r="C74" s="216" t="s">
        <v>994</v>
      </c>
      <c r="D74" s="133">
        <f>SUM(D75:D77)</f>
        <v>0</v>
      </c>
      <c r="E74" s="69"/>
      <c r="F74" s="63"/>
      <c r="G74" s="63"/>
      <c r="H74" s="63"/>
      <c r="I74" s="63"/>
      <c r="J74" s="64"/>
      <c r="K74" s="63"/>
      <c r="L74" s="63"/>
      <c r="M74" s="63"/>
      <c r="N74" s="26"/>
      <c r="O74" s="26"/>
      <c r="P74" s="40"/>
    </row>
    <row r="75" spans="2:16" s="15" customFormat="1" x14ac:dyDescent="0.25">
      <c r="B75" s="107" t="s">
        <v>277</v>
      </c>
      <c r="C75" s="216" t="s">
        <v>58</v>
      </c>
      <c r="D75" s="72">
        <f>D64+D71</f>
        <v>0</v>
      </c>
      <c r="E75" s="57"/>
      <c r="F75" s="68"/>
      <c r="G75" s="68"/>
      <c r="H75" s="68"/>
      <c r="I75" s="68"/>
      <c r="J75" s="58"/>
      <c r="K75" s="68"/>
      <c r="L75" s="68"/>
      <c r="M75" s="68"/>
      <c r="N75" s="26"/>
      <c r="O75" s="26"/>
      <c r="P75" s="40"/>
    </row>
    <row r="76" spans="2:16" s="15" customFormat="1" x14ac:dyDescent="0.25">
      <c r="B76" s="107" t="s">
        <v>278</v>
      </c>
      <c r="C76" s="216" t="s">
        <v>59</v>
      </c>
      <c r="D76" s="72">
        <f>D65+D68+D72</f>
        <v>0</v>
      </c>
      <c r="E76" s="57"/>
      <c r="F76" s="68"/>
      <c r="G76" s="68"/>
      <c r="H76" s="68"/>
      <c r="I76" s="68"/>
      <c r="J76" s="58"/>
      <c r="K76" s="68"/>
      <c r="L76" s="68"/>
      <c r="M76" s="68"/>
      <c r="N76" s="26"/>
      <c r="O76" s="26"/>
      <c r="P76" s="40"/>
    </row>
    <row r="77" spans="2:16" s="15" customFormat="1" x14ac:dyDescent="0.25">
      <c r="B77" s="107" t="s">
        <v>279</v>
      </c>
      <c r="C77" s="216" t="s">
        <v>60</v>
      </c>
      <c r="D77" s="72">
        <f>D66+D69+D73</f>
        <v>0</v>
      </c>
      <c r="E77" s="59"/>
      <c r="F77" s="60"/>
      <c r="G77" s="60"/>
      <c r="H77" s="60"/>
      <c r="I77" s="60"/>
      <c r="J77" s="61"/>
      <c r="K77" s="60"/>
      <c r="L77" s="60"/>
      <c r="M77" s="60"/>
      <c r="N77" s="26"/>
      <c r="O77" s="26"/>
      <c r="P77" s="40"/>
    </row>
    <row r="78" spans="2:16" s="21" customFormat="1" ht="30" x14ac:dyDescent="0.25">
      <c r="B78" s="106" t="s">
        <v>423</v>
      </c>
      <c r="C78" s="215" t="s">
        <v>61</v>
      </c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33"/>
      <c r="O78" s="74"/>
      <c r="P78" s="40"/>
    </row>
    <row r="79" spans="2:16" s="73" customFormat="1" ht="60" x14ac:dyDescent="0.25">
      <c r="B79" s="107" t="s">
        <v>418</v>
      </c>
      <c r="C79" s="216" t="s">
        <v>1019</v>
      </c>
      <c r="D79" s="72">
        <f t="shared" ref="D79" si="14">SUM(E79:I79)+SUM(K79:M79)</f>
        <v>0</v>
      </c>
      <c r="E79" s="137"/>
      <c r="F79" s="137"/>
      <c r="G79" s="137"/>
      <c r="H79" s="137"/>
      <c r="I79" s="137"/>
      <c r="J79" s="137"/>
      <c r="K79" s="137"/>
      <c r="L79" s="137"/>
      <c r="M79" s="137"/>
      <c r="N79" s="37" t="str">
        <f>IF((D79&lt;=D$10)*AND(E79&lt;=E$10)*AND(F79&lt;=F$10)*AND(G79&lt;=G$10)*AND(H79&lt;=H$10)*AND(I79&lt;=I$10)*AND(K79&lt;=K$10)*AND(L79&lt;=L$10)*AND(M79&lt;=M$10)*AND(J79&lt;=J$10),"Выполнено","ПРОВЕРИТЬ (таких муниципальных образований не может быть больше их общего числа)")</f>
        <v>Выполнено</v>
      </c>
      <c r="O79" s="79" t="str">
        <f>IF(((D79=0)),"   ","Нужно заполнить пункт 10 текстовой части 
(муниципальные образования на федеральных территориях)")</f>
        <v xml:space="preserve">   </v>
      </c>
      <c r="P79" s="40"/>
    </row>
    <row r="80" spans="2:16" s="21" customFormat="1" ht="30" x14ac:dyDescent="0.25">
      <c r="B80" s="107" t="s">
        <v>865</v>
      </c>
      <c r="C80" s="216" t="s">
        <v>419</v>
      </c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33"/>
      <c r="O80" s="74"/>
      <c r="P80" s="40"/>
    </row>
    <row r="81" spans="2:16" s="21" customFormat="1" ht="45" x14ac:dyDescent="0.25">
      <c r="B81" s="108" t="s">
        <v>421</v>
      </c>
      <c r="C81" s="217" t="s">
        <v>995</v>
      </c>
      <c r="D81" s="72">
        <f>I81</f>
        <v>0</v>
      </c>
      <c r="E81" s="138"/>
      <c r="F81" s="139"/>
      <c r="G81" s="140"/>
      <c r="H81" s="140"/>
      <c r="I81" s="135"/>
      <c r="J81" s="141"/>
      <c r="K81" s="138"/>
      <c r="L81" s="140"/>
      <c r="M81" s="133"/>
      <c r="N81" s="37" t="str">
        <f>IF((I81&lt;=I$10),"Выполнено","ПРОВЕРИТЬ (таких городских округов не может быть больше их общего числа)")</f>
        <v>Выполнено</v>
      </c>
      <c r="O81" s="79" t="str">
        <f>IF(((D81=0)),"   ","Нужно заполнить пункт 11 текстовой части (ЗАТО)")</f>
        <v xml:space="preserve">   </v>
      </c>
      <c r="P81" s="40"/>
    </row>
    <row r="82" spans="2:16" s="21" customFormat="1" ht="30" x14ac:dyDescent="0.25">
      <c r="B82" s="108" t="s">
        <v>422</v>
      </c>
      <c r="C82" s="217" t="s">
        <v>867</v>
      </c>
      <c r="D82" s="72">
        <f>I82+M82</f>
        <v>0</v>
      </c>
      <c r="E82" s="142"/>
      <c r="F82" s="143"/>
      <c r="G82" s="144"/>
      <c r="H82" s="144"/>
      <c r="I82" s="135"/>
      <c r="J82" s="145"/>
      <c r="K82" s="142"/>
      <c r="L82" s="144"/>
      <c r="M82" s="135"/>
      <c r="N82" s="37" t="str">
        <f>IF((D82&lt;=D$10),"Выполнено","ПРОВЕРИТЬ (таких муниципальных образований не может быть больше их общего числа)")</f>
        <v>Выполнено</v>
      </c>
      <c r="O82" s="79" t="str">
        <f>IF(((D82=0)),"   ","Нужно заполнить пункт 11 текстовой части 
(наукограды)")</f>
        <v xml:space="preserve">   </v>
      </c>
      <c r="P82" s="40"/>
    </row>
    <row r="83" spans="2:16" ht="45" x14ac:dyDescent="0.25">
      <c r="B83" s="107" t="s">
        <v>866</v>
      </c>
      <c r="C83" s="216" t="s">
        <v>420</v>
      </c>
      <c r="D83" s="146"/>
      <c r="E83" s="147"/>
      <c r="F83" s="147"/>
      <c r="G83" s="147"/>
      <c r="H83" s="147"/>
      <c r="I83" s="147"/>
      <c r="J83" s="147"/>
      <c r="K83" s="147"/>
      <c r="L83" s="147"/>
      <c r="M83" s="147"/>
      <c r="N83" s="25"/>
      <c r="O83" s="26"/>
      <c r="P83" s="40"/>
    </row>
    <row r="84" spans="2:16" s="21" customFormat="1" ht="30" x14ac:dyDescent="0.25">
      <c r="B84" s="108" t="s">
        <v>987</v>
      </c>
      <c r="C84" s="217" t="s">
        <v>1024</v>
      </c>
      <c r="D84" s="72">
        <f t="shared" ref="D84:D91" si="15">SUM(E84:I84)+SUM(K84:M84)</f>
        <v>0</v>
      </c>
      <c r="E84" s="135"/>
      <c r="F84" s="136"/>
      <c r="G84" s="136"/>
      <c r="H84" s="135"/>
      <c r="I84" s="135"/>
      <c r="J84" s="135"/>
      <c r="K84" s="135"/>
      <c r="L84" s="134"/>
      <c r="M84" s="135"/>
      <c r="N84" s="37" t="str">
        <f t="shared" ref="N84:N91" si="16">IF((D84&lt;=D$10)*AND(E84&lt;=E$10)*AND(F84&lt;=F$10)*AND(G84&lt;=G$10)*AND(H84&lt;=H$10)*AND(I84&lt;=I$10)*AND(K84&lt;=K$10)*AND(L84&lt;=L$10)*AND(M84&lt;=M$10)*AND(J84&lt;=J$10),"Выполнено","ПРОВЕРИТЬ (таких муниципальных образований не может быть больше их общего числа)")</f>
        <v>Выполнено</v>
      </c>
      <c r="O84" s="79" t="str">
        <f>IF(((E84+H84+I84+K84+M84=0)),"   ","Нужно заполнить пункт 12 текстовой части 
(муниципальные образования на территориях с особыми правовыми режимами...)")</f>
        <v xml:space="preserve">   </v>
      </c>
      <c r="P84" s="40"/>
    </row>
    <row r="85" spans="2:16" ht="45" x14ac:dyDescent="0.25">
      <c r="B85" s="108" t="s">
        <v>988</v>
      </c>
      <c r="C85" s="217" t="s">
        <v>997</v>
      </c>
      <c r="D85" s="72">
        <f t="shared" si="15"/>
        <v>0</v>
      </c>
      <c r="E85" s="135"/>
      <c r="F85" s="136"/>
      <c r="G85" s="136"/>
      <c r="H85" s="135"/>
      <c r="I85" s="135"/>
      <c r="J85" s="135"/>
      <c r="K85" s="135"/>
      <c r="L85" s="134"/>
      <c r="M85" s="135"/>
      <c r="N85" s="37" t="str">
        <f t="shared" si="16"/>
        <v>Выполнено</v>
      </c>
      <c r="O85" s="79" t="str">
        <f t="shared" ref="O85:O90" si="17">IF(((E85+H85+I85+K85+M85=0)),"   ","Нужно заполнить пункт 12 текстовой части 
(муниципальные образования на территориях с особыми правовыми режимами...)")</f>
        <v xml:space="preserve">   </v>
      </c>
      <c r="P85" s="42"/>
    </row>
    <row r="86" spans="2:16" ht="45" x14ac:dyDescent="0.25">
      <c r="B86" s="108" t="s">
        <v>989</v>
      </c>
      <c r="C86" s="217" t="s">
        <v>996</v>
      </c>
      <c r="D86" s="72">
        <f t="shared" si="15"/>
        <v>0</v>
      </c>
      <c r="E86" s="135"/>
      <c r="F86" s="136"/>
      <c r="G86" s="136"/>
      <c r="H86" s="135"/>
      <c r="I86" s="135"/>
      <c r="J86" s="135"/>
      <c r="K86" s="135"/>
      <c r="L86" s="134"/>
      <c r="M86" s="135"/>
      <c r="N86" s="37" t="str">
        <f t="shared" si="16"/>
        <v>Выполнено</v>
      </c>
      <c r="O86" s="79" t="str">
        <f t="shared" si="17"/>
        <v xml:space="preserve">   </v>
      </c>
      <c r="P86" s="42"/>
    </row>
    <row r="87" spans="2:16" ht="60" x14ac:dyDescent="0.25">
      <c r="B87" s="108" t="s">
        <v>990</v>
      </c>
      <c r="C87" s="217" t="s">
        <v>862</v>
      </c>
      <c r="D87" s="72">
        <f t="shared" si="15"/>
        <v>0</v>
      </c>
      <c r="E87" s="135"/>
      <c r="F87" s="136"/>
      <c r="G87" s="136"/>
      <c r="H87" s="135"/>
      <c r="I87" s="135"/>
      <c r="J87" s="135"/>
      <c r="K87" s="135"/>
      <c r="L87" s="134"/>
      <c r="M87" s="135"/>
      <c r="N87" s="37" t="str">
        <f t="shared" si="16"/>
        <v>Выполнено</v>
      </c>
      <c r="O87" s="79" t="str">
        <f t="shared" si="17"/>
        <v xml:space="preserve">   </v>
      </c>
      <c r="P87" s="39"/>
    </row>
    <row r="88" spans="2:16" ht="30" x14ac:dyDescent="0.25">
      <c r="B88" s="114" t="s">
        <v>991</v>
      </c>
      <c r="C88" s="218" t="s">
        <v>1025</v>
      </c>
      <c r="D88" s="72">
        <f t="shared" si="15"/>
        <v>0</v>
      </c>
      <c r="E88" s="137"/>
      <c r="F88" s="148"/>
      <c r="G88" s="148"/>
      <c r="H88" s="137"/>
      <c r="I88" s="137"/>
      <c r="J88" s="137"/>
      <c r="K88" s="137"/>
      <c r="L88" s="149"/>
      <c r="M88" s="137"/>
      <c r="N88" s="37" t="str">
        <f t="shared" si="16"/>
        <v>Выполнено</v>
      </c>
      <c r="O88" s="79" t="str">
        <f t="shared" si="17"/>
        <v xml:space="preserve">   </v>
      </c>
      <c r="P88" s="42"/>
    </row>
    <row r="89" spans="2:16" ht="30" x14ac:dyDescent="0.25">
      <c r="B89" s="114" t="s">
        <v>992</v>
      </c>
      <c r="C89" s="218" t="s">
        <v>863</v>
      </c>
      <c r="D89" s="72">
        <f t="shared" si="15"/>
        <v>0</v>
      </c>
      <c r="E89" s="137"/>
      <c r="F89" s="148"/>
      <c r="G89" s="148"/>
      <c r="H89" s="137"/>
      <c r="I89" s="137"/>
      <c r="J89" s="137"/>
      <c r="K89" s="137"/>
      <c r="L89" s="149"/>
      <c r="M89" s="137"/>
      <c r="N89" s="37" t="str">
        <f t="shared" si="16"/>
        <v>Выполнено</v>
      </c>
      <c r="O89" s="79" t="str">
        <f t="shared" si="17"/>
        <v xml:space="preserve">   </v>
      </c>
      <c r="P89" s="42"/>
    </row>
    <row r="90" spans="2:16" ht="45" x14ac:dyDescent="0.25">
      <c r="B90" s="114" t="s">
        <v>986</v>
      </c>
      <c r="C90" s="218" t="s">
        <v>864</v>
      </c>
      <c r="D90" s="72">
        <f t="shared" si="15"/>
        <v>0</v>
      </c>
      <c r="E90" s="137"/>
      <c r="F90" s="148"/>
      <c r="G90" s="148"/>
      <c r="H90" s="137"/>
      <c r="I90" s="137"/>
      <c r="J90" s="137"/>
      <c r="K90" s="137"/>
      <c r="L90" s="149"/>
      <c r="M90" s="137"/>
      <c r="N90" s="37" t="str">
        <f t="shared" si="16"/>
        <v>Выполнено</v>
      </c>
      <c r="O90" s="79" t="str">
        <f t="shared" si="17"/>
        <v xml:space="preserve">   </v>
      </c>
      <c r="P90" s="42"/>
    </row>
    <row r="91" spans="2:16" s="4" customFormat="1" ht="45" x14ac:dyDescent="0.25">
      <c r="B91" s="114" t="s">
        <v>985</v>
      </c>
      <c r="C91" s="218" t="s">
        <v>868</v>
      </c>
      <c r="D91" s="72">
        <f t="shared" si="15"/>
        <v>0</v>
      </c>
      <c r="E91" s="137"/>
      <c r="F91" s="137"/>
      <c r="G91" s="137"/>
      <c r="H91" s="137"/>
      <c r="I91" s="137"/>
      <c r="J91" s="137"/>
      <c r="K91" s="137"/>
      <c r="L91" s="137"/>
      <c r="M91" s="137"/>
      <c r="N91" s="37" t="str">
        <f t="shared" si="16"/>
        <v>Выполнено</v>
      </c>
      <c r="O91" s="79" t="str">
        <f>IF(((D91=0)),"   ","Нужно заполнить пункт 13 текстовой части 
(муниципальные образования с монопрофильной экономикой)")</f>
        <v xml:space="preserve">   </v>
      </c>
      <c r="P91" s="43"/>
    </row>
    <row r="92" spans="2:16" s="17" customFormat="1" ht="60" x14ac:dyDescent="0.25">
      <c r="B92" s="106" t="s">
        <v>455</v>
      </c>
      <c r="C92" s="215" t="s">
        <v>1435</v>
      </c>
      <c r="D92" s="72">
        <f>D93+D95+D116+D117+D118</f>
        <v>0</v>
      </c>
      <c r="E92" s="138"/>
      <c r="F92" s="139"/>
      <c r="G92" s="139"/>
      <c r="H92" s="139"/>
      <c r="I92" s="139"/>
      <c r="J92" s="140"/>
      <c r="K92" s="139"/>
      <c r="L92" s="139"/>
      <c r="M92" s="139"/>
      <c r="N92" s="79" t="str">
        <f>IF(NOT((D92-D93+D119+D121=0)*AND(D10&lt;&gt;D11)),"Выполнено","ПРОВЕРИТЬ (если количество муниципальных образований изменилось, значит, были преобразования или иные изменения")</f>
        <v>Выполнено</v>
      </c>
      <c r="O92" s="26"/>
      <c r="P92" s="42"/>
    </row>
    <row r="93" spans="2:16" s="17" customFormat="1" ht="30" x14ac:dyDescent="0.25">
      <c r="B93" s="108" t="s">
        <v>315</v>
      </c>
      <c r="C93" s="217" t="s">
        <v>998</v>
      </c>
      <c r="D93" s="22"/>
      <c r="E93" s="150"/>
      <c r="F93" s="151"/>
      <c r="G93" s="151"/>
      <c r="H93" s="151"/>
      <c r="I93" s="151"/>
      <c r="J93" s="152"/>
      <c r="K93" s="151"/>
      <c r="L93" s="151"/>
      <c r="M93" s="151"/>
      <c r="N93" s="28"/>
      <c r="O93" s="79" t="str">
        <f>IF(((D93=0)),"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93" s="42"/>
    </row>
    <row r="94" spans="2:16" s="17" customFormat="1" x14ac:dyDescent="0.25">
      <c r="B94" s="107" t="s">
        <v>426</v>
      </c>
      <c r="C94" s="216" t="s">
        <v>425</v>
      </c>
      <c r="D94" s="12"/>
      <c r="E94" s="150"/>
      <c r="F94" s="151"/>
      <c r="G94" s="151"/>
      <c r="H94" s="151"/>
      <c r="I94" s="151"/>
      <c r="J94" s="152"/>
      <c r="K94" s="151"/>
      <c r="L94" s="151"/>
      <c r="M94" s="151"/>
      <c r="N94" s="37" t="str">
        <f>IF((D94&lt;=D93),"Выполнено","ПРОВЕРИТЬ (значение этой строки не может быть больше значения предыдущей)")</f>
        <v>Выполнено</v>
      </c>
      <c r="O94" s="75"/>
      <c r="P94" s="42"/>
    </row>
    <row r="95" spans="2:16" s="17" customFormat="1" ht="30" x14ac:dyDescent="0.25">
      <c r="B95" s="108" t="s">
        <v>316</v>
      </c>
      <c r="C95" s="217" t="s">
        <v>62</v>
      </c>
      <c r="D95" s="72">
        <f>D96+D103+D104+D113+D114+D115</f>
        <v>0</v>
      </c>
      <c r="E95" s="150"/>
      <c r="F95" s="151"/>
      <c r="G95" s="151"/>
      <c r="H95" s="151"/>
      <c r="I95" s="151"/>
      <c r="J95" s="152"/>
      <c r="K95" s="151"/>
      <c r="L95" s="151"/>
      <c r="M95" s="151"/>
      <c r="N95" s="28"/>
      <c r="O95" s="79" t="str">
        <f t="shared" ref="O95:O118" si="18">IF(((D95=0)),"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95" s="42"/>
    </row>
    <row r="96" spans="2:16" x14ac:dyDescent="0.25">
      <c r="B96" s="108" t="s">
        <v>317</v>
      </c>
      <c r="C96" s="217" t="s">
        <v>434</v>
      </c>
      <c r="D96" s="72">
        <f>SUM(D97:D102)</f>
        <v>0</v>
      </c>
      <c r="E96" s="142"/>
      <c r="F96" s="143"/>
      <c r="G96" s="143"/>
      <c r="H96" s="143"/>
      <c r="I96" s="143"/>
      <c r="J96" s="144"/>
      <c r="K96" s="143"/>
      <c r="L96" s="143"/>
      <c r="M96" s="143"/>
      <c r="N96" s="28"/>
      <c r="O96" s="79" t="str">
        <f t="shared" si="18"/>
        <v xml:space="preserve">   </v>
      </c>
      <c r="P96" s="44"/>
    </row>
    <row r="97" spans="2:16" ht="30" x14ac:dyDescent="0.25">
      <c r="B97" s="108" t="s">
        <v>428</v>
      </c>
      <c r="C97" s="217" t="s">
        <v>435</v>
      </c>
      <c r="D97" s="72">
        <f t="shared" ref="D97" si="19">SUM(E97:I97)+SUM(K97:M97)</f>
        <v>0</v>
      </c>
      <c r="E97" s="135"/>
      <c r="F97" s="135"/>
      <c r="G97" s="135"/>
      <c r="H97" s="135"/>
      <c r="I97" s="135"/>
      <c r="J97" s="133"/>
      <c r="K97" s="135"/>
      <c r="L97" s="135"/>
      <c r="M97" s="135"/>
      <c r="N97" s="28"/>
      <c r="O97" s="79" t="str">
        <f t="shared" si="18"/>
        <v xml:space="preserve">   </v>
      </c>
      <c r="P97" s="44"/>
    </row>
    <row r="98" spans="2:16" x14ac:dyDescent="0.25">
      <c r="B98" s="108" t="s">
        <v>429</v>
      </c>
      <c r="C98" s="217" t="s">
        <v>438</v>
      </c>
      <c r="D98" s="135"/>
      <c r="E98" s="138"/>
      <c r="F98" s="139"/>
      <c r="G98" s="139"/>
      <c r="H98" s="139"/>
      <c r="I98" s="139"/>
      <c r="J98" s="140"/>
      <c r="K98" s="139"/>
      <c r="L98" s="139"/>
      <c r="M98" s="139"/>
      <c r="N98" s="28"/>
      <c r="O98" s="79" t="str">
        <f t="shared" si="18"/>
        <v xml:space="preserve">   </v>
      </c>
      <c r="P98" s="44"/>
    </row>
    <row r="99" spans="2:16" ht="30" x14ac:dyDescent="0.25">
      <c r="B99" s="108" t="s">
        <v>430</v>
      </c>
      <c r="C99" s="217" t="s">
        <v>515</v>
      </c>
      <c r="D99" s="135"/>
      <c r="E99" s="150"/>
      <c r="F99" s="151"/>
      <c r="G99" s="151"/>
      <c r="H99" s="151"/>
      <c r="I99" s="151"/>
      <c r="J99" s="152"/>
      <c r="K99" s="151"/>
      <c r="L99" s="151"/>
      <c r="M99" s="151"/>
      <c r="N99" s="28"/>
      <c r="O99" s="79" t="str">
        <f t="shared" si="18"/>
        <v xml:space="preserve">   </v>
      </c>
      <c r="P99" s="45"/>
    </row>
    <row r="100" spans="2:16" ht="45" x14ac:dyDescent="0.25">
      <c r="B100" s="108" t="s">
        <v>431</v>
      </c>
      <c r="C100" s="217" t="s">
        <v>436</v>
      </c>
      <c r="D100" s="135"/>
      <c r="E100" s="150"/>
      <c r="F100" s="151"/>
      <c r="G100" s="151"/>
      <c r="H100" s="151"/>
      <c r="I100" s="151"/>
      <c r="J100" s="152"/>
      <c r="K100" s="151"/>
      <c r="L100" s="151"/>
      <c r="M100" s="151"/>
      <c r="N100" s="28"/>
      <c r="O100" s="79" t="str">
        <f t="shared" si="18"/>
        <v xml:space="preserve">   </v>
      </c>
    </row>
    <row r="101" spans="2:16" s="21" customFormat="1" ht="60" x14ac:dyDescent="0.25">
      <c r="B101" s="108" t="s">
        <v>432</v>
      </c>
      <c r="C101" s="217" t="s">
        <v>437</v>
      </c>
      <c r="D101" s="135"/>
      <c r="E101" s="150"/>
      <c r="F101" s="151"/>
      <c r="G101" s="151"/>
      <c r="H101" s="151"/>
      <c r="I101" s="151"/>
      <c r="J101" s="152"/>
      <c r="K101" s="151"/>
      <c r="L101" s="151"/>
      <c r="M101" s="151"/>
      <c r="N101" s="28"/>
      <c r="O101" s="79" t="str">
        <f t="shared" si="18"/>
        <v xml:space="preserve">   </v>
      </c>
    </row>
    <row r="102" spans="2:16" s="21" customFormat="1" ht="45" x14ac:dyDescent="0.25">
      <c r="B102" s="108" t="s">
        <v>433</v>
      </c>
      <c r="C102" s="217" t="s">
        <v>439</v>
      </c>
      <c r="D102" s="135"/>
      <c r="E102" s="150"/>
      <c r="F102" s="151"/>
      <c r="G102" s="151"/>
      <c r="H102" s="151"/>
      <c r="I102" s="151"/>
      <c r="J102" s="152"/>
      <c r="K102" s="151"/>
      <c r="L102" s="151"/>
      <c r="M102" s="151"/>
      <c r="N102" s="28"/>
      <c r="O102" s="79" t="str">
        <f t="shared" si="18"/>
        <v xml:space="preserve">   </v>
      </c>
    </row>
    <row r="103" spans="2:16" s="21" customFormat="1" ht="45" x14ac:dyDescent="0.25">
      <c r="B103" s="108" t="s">
        <v>318</v>
      </c>
      <c r="C103" s="217" t="s">
        <v>869</v>
      </c>
      <c r="D103" s="72">
        <f t="shared" ref="D103" si="20">SUM(E103:I103)+SUM(K103:M103)</f>
        <v>0</v>
      </c>
      <c r="E103" s="135"/>
      <c r="F103" s="135"/>
      <c r="G103" s="135"/>
      <c r="H103" s="135"/>
      <c r="I103" s="135"/>
      <c r="J103" s="133"/>
      <c r="K103" s="135"/>
      <c r="L103" s="135"/>
      <c r="M103" s="135"/>
      <c r="N103" s="28"/>
      <c r="O103" s="79" t="str">
        <f t="shared" si="18"/>
        <v xml:space="preserve">   </v>
      </c>
    </row>
    <row r="104" spans="2:16" s="21" customFormat="1" ht="30" x14ac:dyDescent="0.25">
      <c r="B104" s="108" t="s">
        <v>319</v>
      </c>
      <c r="C104" s="217" t="s">
        <v>440</v>
      </c>
      <c r="D104" s="133">
        <f>SUM(D105:D112)</f>
        <v>0</v>
      </c>
      <c r="E104" s="138"/>
      <c r="F104" s="139"/>
      <c r="G104" s="139"/>
      <c r="H104" s="139"/>
      <c r="I104" s="139"/>
      <c r="J104" s="140"/>
      <c r="K104" s="139"/>
      <c r="L104" s="139"/>
      <c r="M104" s="139"/>
      <c r="N104" s="28"/>
      <c r="O104" s="79" t="str">
        <f t="shared" si="18"/>
        <v xml:space="preserve">   </v>
      </c>
      <c r="P104" s="44"/>
    </row>
    <row r="105" spans="2:16" s="21" customFormat="1" x14ac:dyDescent="0.25">
      <c r="B105" s="108" t="s">
        <v>320</v>
      </c>
      <c r="C105" s="217" t="s">
        <v>442</v>
      </c>
      <c r="D105" s="22"/>
      <c r="E105" s="150"/>
      <c r="F105" s="151"/>
      <c r="G105" s="151"/>
      <c r="H105" s="151"/>
      <c r="I105" s="151"/>
      <c r="J105" s="152"/>
      <c r="K105" s="151"/>
      <c r="L105" s="151"/>
      <c r="M105" s="151"/>
      <c r="N105" s="28"/>
      <c r="O105" s="79" t="str">
        <f t="shared" si="18"/>
        <v xml:space="preserve">   </v>
      </c>
      <c r="P105" s="44"/>
    </row>
    <row r="106" spans="2:16" s="21" customFormat="1" x14ac:dyDescent="0.25">
      <c r="B106" s="108" t="s">
        <v>321</v>
      </c>
      <c r="C106" s="217" t="s">
        <v>443</v>
      </c>
      <c r="D106" s="22"/>
      <c r="E106" s="150"/>
      <c r="F106" s="151"/>
      <c r="G106" s="151"/>
      <c r="H106" s="151"/>
      <c r="I106" s="151"/>
      <c r="J106" s="152"/>
      <c r="K106" s="151"/>
      <c r="L106" s="151"/>
      <c r="M106" s="151"/>
      <c r="N106" s="28"/>
      <c r="O106" s="79" t="str">
        <f t="shared" si="18"/>
        <v xml:space="preserve">   </v>
      </c>
      <c r="P106" s="44"/>
    </row>
    <row r="107" spans="2:16" ht="30" x14ac:dyDescent="0.25">
      <c r="B107" s="108" t="s">
        <v>322</v>
      </c>
      <c r="C107" s="217" t="s">
        <v>66</v>
      </c>
      <c r="D107" s="22"/>
      <c r="E107" s="150"/>
      <c r="F107" s="151"/>
      <c r="G107" s="151"/>
      <c r="H107" s="151"/>
      <c r="I107" s="151"/>
      <c r="J107" s="152"/>
      <c r="K107" s="151"/>
      <c r="L107" s="151"/>
      <c r="M107" s="151"/>
      <c r="N107" s="28"/>
      <c r="O107" s="79" t="str">
        <f t="shared" si="18"/>
        <v xml:space="preserve">   </v>
      </c>
      <c r="P107" s="44"/>
    </row>
    <row r="108" spans="2:16" ht="30" x14ac:dyDescent="0.25">
      <c r="B108" s="108" t="s">
        <v>323</v>
      </c>
      <c r="C108" s="217" t="s">
        <v>65</v>
      </c>
      <c r="D108" s="22"/>
      <c r="E108" s="150"/>
      <c r="F108" s="151"/>
      <c r="G108" s="151"/>
      <c r="H108" s="151"/>
      <c r="I108" s="151"/>
      <c r="J108" s="152"/>
      <c r="K108" s="151"/>
      <c r="L108" s="151"/>
      <c r="M108" s="151"/>
      <c r="N108" s="28"/>
      <c r="O108" s="79" t="str">
        <f t="shared" si="18"/>
        <v xml:space="preserve">   </v>
      </c>
      <c r="P108" s="44"/>
    </row>
    <row r="109" spans="2:16" x14ac:dyDescent="0.25">
      <c r="B109" s="108" t="s">
        <v>441</v>
      </c>
      <c r="C109" s="217" t="s">
        <v>444</v>
      </c>
      <c r="D109" s="22"/>
      <c r="E109" s="150"/>
      <c r="F109" s="151"/>
      <c r="G109" s="151"/>
      <c r="H109" s="151"/>
      <c r="I109" s="151"/>
      <c r="J109" s="152"/>
      <c r="K109" s="151"/>
      <c r="L109" s="151"/>
      <c r="M109" s="151"/>
      <c r="N109" s="28"/>
      <c r="O109" s="79" t="str">
        <f t="shared" si="18"/>
        <v xml:space="preserve">   </v>
      </c>
      <c r="P109" s="44"/>
    </row>
    <row r="110" spans="2:16" x14ac:dyDescent="0.25">
      <c r="B110" s="108" t="s">
        <v>446</v>
      </c>
      <c r="C110" s="217" t="s">
        <v>445</v>
      </c>
      <c r="D110" s="22"/>
      <c r="E110" s="150"/>
      <c r="F110" s="151"/>
      <c r="G110" s="151"/>
      <c r="H110" s="151"/>
      <c r="I110" s="151"/>
      <c r="J110" s="152"/>
      <c r="K110" s="151"/>
      <c r="L110" s="151"/>
      <c r="M110" s="151"/>
      <c r="N110" s="28"/>
      <c r="O110" s="79" t="str">
        <f t="shared" si="18"/>
        <v xml:space="preserve">   </v>
      </c>
      <c r="P110" s="44"/>
    </row>
    <row r="111" spans="2:16" s="21" customFormat="1" ht="30" x14ac:dyDescent="0.25">
      <c r="B111" s="108" t="s">
        <v>447</v>
      </c>
      <c r="C111" s="217" t="s">
        <v>63</v>
      </c>
      <c r="D111" s="22"/>
      <c r="E111" s="150"/>
      <c r="F111" s="151"/>
      <c r="G111" s="151"/>
      <c r="H111" s="151"/>
      <c r="I111" s="151"/>
      <c r="J111" s="152"/>
      <c r="K111" s="151"/>
      <c r="L111" s="151"/>
      <c r="M111" s="151"/>
      <c r="N111" s="28"/>
      <c r="O111" s="79" t="str">
        <f t="shared" si="18"/>
        <v xml:space="preserve">   </v>
      </c>
      <c r="P111" s="44"/>
    </row>
    <row r="112" spans="2:16" s="21" customFormat="1" ht="30" x14ac:dyDescent="0.25">
      <c r="B112" s="108" t="s">
        <v>448</v>
      </c>
      <c r="C112" s="217" t="s">
        <v>64</v>
      </c>
      <c r="D112" s="22"/>
      <c r="E112" s="150"/>
      <c r="F112" s="151"/>
      <c r="G112" s="151"/>
      <c r="H112" s="151"/>
      <c r="I112" s="151"/>
      <c r="J112" s="152"/>
      <c r="K112" s="151"/>
      <c r="L112" s="151"/>
      <c r="M112" s="151"/>
      <c r="N112" s="28"/>
      <c r="O112" s="79" t="str">
        <f t="shared" si="18"/>
        <v xml:space="preserve">   </v>
      </c>
      <c r="P112" s="44"/>
    </row>
    <row r="113" spans="2:16" ht="30" x14ac:dyDescent="0.25">
      <c r="B113" s="108" t="s">
        <v>449</v>
      </c>
      <c r="C113" s="217" t="s">
        <v>450</v>
      </c>
      <c r="D113" s="22"/>
      <c r="E113" s="150"/>
      <c r="F113" s="151"/>
      <c r="G113" s="151"/>
      <c r="H113" s="151"/>
      <c r="I113" s="151"/>
      <c r="J113" s="152"/>
      <c r="K113" s="151"/>
      <c r="L113" s="151"/>
      <c r="M113" s="151"/>
      <c r="N113" s="28"/>
      <c r="O113" s="79" t="str">
        <f t="shared" si="18"/>
        <v xml:space="preserve">   </v>
      </c>
      <c r="P113" s="44"/>
    </row>
    <row r="114" spans="2:16" ht="30" x14ac:dyDescent="0.25">
      <c r="B114" s="108" t="s">
        <v>427</v>
      </c>
      <c r="C114" s="217" t="s">
        <v>451</v>
      </c>
      <c r="D114" s="22"/>
      <c r="E114" s="150"/>
      <c r="F114" s="151"/>
      <c r="G114" s="151"/>
      <c r="H114" s="151"/>
      <c r="I114" s="151"/>
      <c r="J114" s="152"/>
      <c r="K114" s="151"/>
      <c r="L114" s="151"/>
      <c r="M114" s="151"/>
      <c r="N114" s="28"/>
      <c r="O114" s="79" t="str">
        <f t="shared" si="18"/>
        <v xml:space="preserve">   </v>
      </c>
      <c r="P114" s="44"/>
    </row>
    <row r="115" spans="2:16" x14ac:dyDescent="0.25">
      <c r="B115" s="108" t="s">
        <v>452</v>
      </c>
      <c r="C115" s="217" t="s">
        <v>453</v>
      </c>
      <c r="D115" s="22"/>
      <c r="E115" s="150"/>
      <c r="F115" s="151"/>
      <c r="G115" s="151"/>
      <c r="H115" s="151"/>
      <c r="I115" s="151"/>
      <c r="J115" s="152"/>
      <c r="K115" s="151"/>
      <c r="L115" s="151"/>
      <c r="M115" s="151"/>
      <c r="N115" s="28"/>
      <c r="O115" s="79" t="str">
        <f t="shared" si="18"/>
        <v xml:space="preserve">   </v>
      </c>
      <c r="P115" s="44"/>
    </row>
    <row r="116" spans="2:16" x14ac:dyDescent="0.25">
      <c r="B116" s="108" t="s">
        <v>324</v>
      </c>
      <c r="C116" s="217" t="s">
        <v>67</v>
      </c>
      <c r="D116" s="22"/>
      <c r="E116" s="150"/>
      <c r="F116" s="151"/>
      <c r="G116" s="151"/>
      <c r="H116" s="151"/>
      <c r="I116" s="151"/>
      <c r="J116" s="152"/>
      <c r="K116" s="151"/>
      <c r="L116" s="151"/>
      <c r="M116" s="151"/>
      <c r="N116" s="28"/>
      <c r="O116" s="79" t="str">
        <f t="shared" si="18"/>
        <v xml:space="preserve">   </v>
      </c>
      <c r="P116" s="44"/>
    </row>
    <row r="117" spans="2:16" s="21" customFormat="1" ht="30" x14ac:dyDescent="0.25">
      <c r="B117" s="108" t="s">
        <v>325</v>
      </c>
      <c r="C117" s="217" t="s">
        <v>68</v>
      </c>
      <c r="D117" s="22"/>
      <c r="E117" s="150"/>
      <c r="F117" s="151"/>
      <c r="G117" s="151"/>
      <c r="H117" s="151"/>
      <c r="I117" s="151"/>
      <c r="J117" s="152"/>
      <c r="K117" s="151"/>
      <c r="L117" s="151"/>
      <c r="M117" s="151"/>
      <c r="N117" s="28"/>
      <c r="O117" s="79" t="str">
        <f t="shared" si="18"/>
        <v xml:space="preserve">   </v>
      </c>
      <c r="P117" s="44"/>
    </row>
    <row r="118" spans="2:16" s="21" customFormat="1" ht="45" x14ac:dyDescent="0.25">
      <c r="B118" s="108" t="s">
        <v>326</v>
      </c>
      <c r="C118" s="217" t="s">
        <v>454</v>
      </c>
      <c r="D118" s="22"/>
      <c r="E118" s="150"/>
      <c r="F118" s="151"/>
      <c r="G118" s="151"/>
      <c r="H118" s="151"/>
      <c r="I118" s="151"/>
      <c r="J118" s="152"/>
      <c r="K118" s="151"/>
      <c r="L118" s="151"/>
      <c r="M118" s="151"/>
      <c r="N118" s="28"/>
      <c r="O118" s="79" t="str">
        <f t="shared" si="18"/>
        <v xml:space="preserve">   </v>
      </c>
      <c r="P118" s="44"/>
    </row>
    <row r="119" spans="2:16" ht="45" x14ac:dyDescent="0.25">
      <c r="B119" s="108" t="s">
        <v>284</v>
      </c>
      <c r="C119" s="217" t="s">
        <v>457</v>
      </c>
      <c r="D119" s="22"/>
      <c r="E119" s="150"/>
      <c r="F119" s="151"/>
      <c r="G119" s="151"/>
      <c r="H119" s="151"/>
      <c r="I119" s="151"/>
      <c r="J119" s="152"/>
      <c r="K119" s="151"/>
      <c r="L119" s="151"/>
      <c r="M119" s="151"/>
      <c r="N119" s="28"/>
      <c r="O119" s="79" t="str">
        <f>IF(((D119=0)),"   ","Нужно заполнить пункт 15 текстовой части (отмена либо приостановление действия ранее произведенных изменений...)")</f>
        <v xml:space="preserve">   </v>
      </c>
      <c r="P119" s="44"/>
    </row>
    <row r="120" spans="2:16" x14ac:dyDescent="0.25">
      <c r="B120" s="108" t="s">
        <v>285</v>
      </c>
      <c r="C120" s="217" t="s">
        <v>70</v>
      </c>
      <c r="D120" s="22"/>
      <c r="E120" s="142"/>
      <c r="F120" s="143"/>
      <c r="G120" s="143"/>
      <c r="H120" s="143"/>
      <c r="I120" s="143"/>
      <c r="J120" s="144"/>
      <c r="K120" s="143"/>
      <c r="L120" s="143"/>
      <c r="M120" s="143"/>
      <c r="N120" s="37" t="str">
        <f>IF((D120&lt;=D119),"Выполнено","ПРОВЕРИТЬ (эта подстрока не может быть больше основной строки)")</f>
        <v>Выполнено</v>
      </c>
      <c r="O120" s="79" t="str">
        <f>IF(((D120=0)),"   ","Нужно заполнить пункт 15 текстовой части (отмена либо приостановление действия ранее произведенных изменений...)")</f>
        <v xml:space="preserve">   </v>
      </c>
      <c r="P120" s="44"/>
    </row>
    <row r="121" spans="2:16" ht="30" x14ac:dyDescent="0.25">
      <c r="B121" s="108" t="s">
        <v>459</v>
      </c>
      <c r="C121" s="217" t="s">
        <v>458</v>
      </c>
      <c r="D121" s="22"/>
      <c r="E121" s="150"/>
      <c r="F121" s="151"/>
      <c r="G121" s="151"/>
      <c r="H121" s="151"/>
      <c r="I121" s="151"/>
      <c r="J121" s="152"/>
      <c r="K121" s="151"/>
      <c r="L121" s="151"/>
      <c r="M121" s="151"/>
      <c r="N121" s="28"/>
      <c r="O121" s="79" t="str">
        <f>IF(((D121=0)),"   ","Нужно заполнить пункт 15 текстовой части (отмена либо приостановление действия ранее произведенных изменений...)")</f>
        <v xml:space="preserve">   </v>
      </c>
      <c r="P121" s="44"/>
    </row>
    <row r="122" spans="2:16" ht="75" x14ac:dyDescent="0.25">
      <c r="B122" s="106" t="s">
        <v>456</v>
      </c>
      <c r="C122" s="215" t="s">
        <v>1436</v>
      </c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33"/>
      <c r="O122" s="74"/>
      <c r="P122" s="44"/>
    </row>
    <row r="123" spans="2:16" ht="30" x14ac:dyDescent="0.25">
      <c r="B123" s="108" t="s">
        <v>327</v>
      </c>
      <c r="C123" s="217" t="s">
        <v>69</v>
      </c>
      <c r="D123" s="72">
        <f t="shared" ref="D123:D134" si="21">SUM(E123:I123)+SUM(K123:M123)</f>
        <v>0</v>
      </c>
      <c r="E123" s="135"/>
      <c r="F123" s="135"/>
      <c r="G123" s="135"/>
      <c r="H123" s="135"/>
      <c r="I123" s="135"/>
      <c r="J123" s="134"/>
      <c r="K123" s="135"/>
      <c r="L123" s="135"/>
      <c r="M123" s="135"/>
      <c r="N123" s="79" t="str">
        <f>IF(NOT((D$92=0)*AND(D123&gt;0)),"Выполнено","ПРОВЕРИТЬ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3" s="79" t="str">
        <f>IF(((D123=0)),"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3" s="44"/>
    </row>
    <row r="124" spans="2:16" ht="30" x14ac:dyDescent="0.25">
      <c r="B124" s="108" t="s">
        <v>328</v>
      </c>
      <c r="C124" s="217" t="s">
        <v>191</v>
      </c>
      <c r="D124" s="72">
        <f t="shared" si="21"/>
        <v>0</v>
      </c>
      <c r="E124" s="135"/>
      <c r="F124" s="135"/>
      <c r="G124" s="135"/>
      <c r="H124" s="135"/>
      <c r="I124" s="135"/>
      <c r="J124" s="134"/>
      <c r="K124" s="135"/>
      <c r="L124" s="135"/>
      <c r="M124" s="135"/>
      <c r="N124" s="79" t="str">
        <f>IF(NOT((D$92=0)*AND(D124&gt;0)),"Выполнено","ПРОВЕРИТЬ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4" s="79" t="str">
        <f>IF(((D124=0)),"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4" s="42"/>
    </row>
    <row r="125" spans="2:16" s="21" customFormat="1" ht="30" x14ac:dyDescent="0.25">
      <c r="B125" s="108" t="s">
        <v>329</v>
      </c>
      <c r="C125" s="217" t="s">
        <v>283</v>
      </c>
      <c r="D125" s="72">
        <f t="shared" si="21"/>
        <v>0</v>
      </c>
      <c r="E125" s="135"/>
      <c r="F125" s="135"/>
      <c r="G125" s="135"/>
      <c r="H125" s="135"/>
      <c r="I125" s="135"/>
      <c r="J125" s="134"/>
      <c r="K125" s="135"/>
      <c r="L125" s="135"/>
      <c r="M125" s="135"/>
      <c r="N125" s="79" t="str">
        <f>IF(NOT((D$92=0)*AND(D125&gt;0)),"Выполнено","ПРОВЕРИТЬ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5" s="79" t="str">
        <f>IF(((D125=0)),"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5" s="42"/>
    </row>
    <row r="126" spans="2:16" ht="45" x14ac:dyDescent="0.25">
      <c r="B126" s="108" t="s">
        <v>330</v>
      </c>
      <c r="C126" s="217" t="s">
        <v>209</v>
      </c>
      <c r="D126" s="72">
        <f t="shared" si="21"/>
        <v>0</v>
      </c>
      <c r="E126" s="135"/>
      <c r="F126" s="135"/>
      <c r="G126" s="135"/>
      <c r="H126" s="135"/>
      <c r="I126" s="135"/>
      <c r="J126" s="134"/>
      <c r="K126" s="135"/>
      <c r="L126" s="135"/>
      <c r="M126" s="135"/>
      <c r="N126" s="79" t="str">
        <f>IF(NOT((D$92=0)*AND(D126&gt;0)),"Выполнено","ПРОВЕРИТЬ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6" s="79" t="str">
        <f>IF(((D126=0)),"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6" s="44"/>
    </row>
    <row r="127" spans="2:16" ht="30" x14ac:dyDescent="0.25">
      <c r="B127" s="106" t="s">
        <v>424</v>
      </c>
      <c r="C127" s="215" t="s">
        <v>361</v>
      </c>
      <c r="D127" s="55"/>
      <c r="E127" s="56"/>
      <c r="F127" s="56"/>
      <c r="G127" s="56"/>
      <c r="H127" s="56"/>
      <c r="I127" s="56"/>
      <c r="J127" s="56"/>
      <c r="K127" s="56"/>
      <c r="L127" s="56"/>
      <c r="M127" s="56"/>
      <c r="N127" s="33"/>
      <c r="O127" s="74"/>
      <c r="P127" s="44"/>
    </row>
    <row r="128" spans="2:16" ht="45" x14ac:dyDescent="0.25">
      <c r="B128" s="107" t="s">
        <v>578</v>
      </c>
      <c r="C128" s="216" t="s">
        <v>1000</v>
      </c>
      <c r="D128" s="72">
        <f t="shared" si="21"/>
        <v>12</v>
      </c>
      <c r="E128" s="72">
        <f t="shared" ref="E128:M128" si="22">E$10-E129</f>
        <v>1</v>
      </c>
      <c r="F128" s="72">
        <f t="shared" si="22"/>
        <v>0</v>
      </c>
      <c r="G128" s="72">
        <f t="shared" si="22"/>
        <v>11</v>
      </c>
      <c r="H128" s="72">
        <f t="shared" si="22"/>
        <v>0</v>
      </c>
      <c r="I128" s="72">
        <f t="shared" si="22"/>
        <v>0</v>
      </c>
      <c r="J128" s="72">
        <f>J$10-J129</f>
        <v>0</v>
      </c>
      <c r="K128" s="72">
        <f t="shared" si="22"/>
        <v>0</v>
      </c>
      <c r="L128" s="72">
        <f t="shared" si="22"/>
        <v>0</v>
      </c>
      <c r="M128" s="72">
        <f t="shared" si="22"/>
        <v>0</v>
      </c>
      <c r="N128" s="28"/>
      <c r="O128" s="75"/>
      <c r="P128" s="44"/>
    </row>
    <row r="129" spans="2:16" ht="45" x14ac:dyDescent="0.25">
      <c r="B129" s="108" t="s">
        <v>579</v>
      </c>
      <c r="C129" s="217" t="s">
        <v>999</v>
      </c>
      <c r="D129" s="72">
        <f t="shared" si="21"/>
        <v>0</v>
      </c>
      <c r="E129" s="135"/>
      <c r="F129" s="135"/>
      <c r="G129" s="135"/>
      <c r="H129" s="135"/>
      <c r="I129" s="135"/>
      <c r="J129" s="134"/>
      <c r="K129" s="135"/>
      <c r="L129" s="135"/>
      <c r="M129" s="135"/>
      <c r="N129" s="37" t="str">
        <f>IF((D129&lt;=D$10)*AND(E129&lt;=E$10)*AND(F129&lt;=F$10)*AND(G129&lt;=G$10)*AND(H129&lt;=H$10)*AND(I129&lt;=I$10)*AND(K129&lt;=K$10)*AND(L129&lt;=L$10)*AND(M129&lt;=M$10)*AND(J129&lt;=J$10),"Выполнено","ПРОВЕРИТЬ (таких муниципальных образований не может быть больше их общего числа)")</f>
        <v>Выполнено</v>
      </c>
      <c r="O129" s="79" t="str">
        <f>IF(((D129=0)),"   ","Нужно заполнить пункт 16 текстовой части (муниципальные образования, не имеющие действующих уставов...)")</f>
        <v xml:space="preserve">   </v>
      </c>
      <c r="P129" s="44"/>
    </row>
    <row r="130" spans="2:16" ht="30" x14ac:dyDescent="0.25">
      <c r="B130" s="109" t="s">
        <v>580</v>
      </c>
      <c r="C130" s="216" t="s">
        <v>177</v>
      </c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33"/>
      <c r="O130" s="74"/>
      <c r="P130" s="45"/>
    </row>
    <row r="131" spans="2:16" x14ac:dyDescent="0.25">
      <c r="B131" s="109" t="s">
        <v>581</v>
      </c>
      <c r="C131" s="216" t="s">
        <v>203</v>
      </c>
      <c r="D131" s="72">
        <f>SUM(F131:I131)+K131+M131</f>
        <v>1</v>
      </c>
      <c r="E131" s="153"/>
      <c r="F131" s="54"/>
      <c r="G131" s="54">
        <v>1</v>
      </c>
      <c r="H131" s="54"/>
      <c r="I131" s="54"/>
      <c r="J131" s="136"/>
      <c r="K131" s="136"/>
      <c r="L131" s="153"/>
      <c r="M131" s="136"/>
      <c r="N131" s="37" t="str">
        <f>IF((D131&lt;=D$10)*AND(E131=0)*AND(F131&lt;=F$10)*AND(G131&lt;=G$10)*AND(H131&lt;=H$10)*AND(I131&lt;=I$10)*AND(K131&lt;=K$10)*AND(L131=0)*AND(M131&lt;=M$10)*AND(J131&lt;=J$10),"Выполнено","ПРОВЕРИТЬ (муниципальных образований с генпланами не может быть больше их общего числа; в муниципальных и внутригородских районах генпланы вообще не принимаются)")</f>
        <v>Выполнено</v>
      </c>
      <c r="O131" s="75"/>
      <c r="P131" s="44"/>
    </row>
    <row r="132" spans="2:16" x14ac:dyDescent="0.25">
      <c r="B132" s="109" t="s">
        <v>582</v>
      </c>
      <c r="C132" s="216" t="s">
        <v>204</v>
      </c>
      <c r="D132" s="72">
        <f>E132+H132+I132+M132</f>
        <v>0</v>
      </c>
      <c r="E132" s="136"/>
      <c r="F132" s="153"/>
      <c r="G132" s="153"/>
      <c r="H132" s="136"/>
      <c r="I132" s="136"/>
      <c r="J132" s="136"/>
      <c r="K132" s="153"/>
      <c r="L132" s="153"/>
      <c r="M132" s="136"/>
      <c r="N132" s="37" t="str">
        <f>IF((D132&lt;=D$10)*AND(E132&lt;=E$10)*AND(F132=0)*AND(G132=0)*AND(H132&lt;=H$10)*AND(I132&lt;=I$10)*AND(K132=0)*AND(L132=0)*AND(M132&lt;=M$10)*AND(J132&lt;=J$10),"Выполнено","ПРОВЕРИТЬ (муниципальных образований со схемами терпланирования не может быть больше их числа, в поселениях они не принимаются вообще, в муниципальных и городских округах могут быть крайне редко как следствие преобразований)")</f>
        <v>Выполнено</v>
      </c>
      <c r="O132" s="79" t="str">
        <f>IF(((H132+I132=0)),"   ","Подсказка - у городских и муниципальных округов обычно не бывает СТП, исключение - если она принималась ранее районом и осталась при преобразовании)")</f>
        <v xml:space="preserve">   </v>
      </c>
      <c r="P132" s="44"/>
    </row>
    <row r="133" spans="2:16" x14ac:dyDescent="0.25">
      <c r="B133" s="109" t="s">
        <v>583</v>
      </c>
      <c r="C133" s="216" t="s">
        <v>175</v>
      </c>
      <c r="D133" s="72">
        <f t="shared" si="21"/>
        <v>1</v>
      </c>
      <c r="E133" s="54"/>
      <c r="F133" s="54"/>
      <c r="G133" s="54">
        <v>1</v>
      </c>
      <c r="H133" s="54"/>
      <c r="I133" s="54"/>
      <c r="J133" s="134"/>
      <c r="K133" s="136"/>
      <c r="L133" s="134"/>
      <c r="M133" s="134"/>
      <c r="N133" s="37" t="str">
        <f>IF((D133&lt;=D$10)*AND(E133&lt;=E$10)*AND(F133&lt;=F$10)*AND(G133&lt;=G$10)*AND(H133&lt;=H$10)*AND(I133&lt;=I$10)*AND(K133&lt;=K$10)*AND(L133&lt;=L$10)*AND(M133&lt;=M$10)*AND(J133&lt;=J$10),"Выполнено","ПРОВЕРИТЬ (таких муниципальных образований не может быть больше их общего числа)")</f>
        <v>Выполнено</v>
      </c>
      <c r="O133" s="79" t="str">
        <f>IF(((E133+L133=0)),"   ","Подсказка - правила землепользования и застройки обычно (за редкими исключениями) не принимаются в муниципальных и внутригородских районах, возможна ошибка)")</f>
        <v xml:space="preserve">   </v>
      </c>
      <c r="P133" s="44"/>
    </row>
    <row r="134" spans="2:16" x14ac:dyDescent="0.25">
      <c r="B134" s="109" t="s">
        <v>584</v>
      </c>
      <c r="C134" s="216" t="s">
        <v>176</v>
      </c>
      <c r="D134" s="72">
        <f t="shared" si="21"/>
        <v>1</v>
      </c>
      <c r="E134" s="136"/>
      <c r="F134" s="54"/>
      <c r="G134" s="54">
        <v>1</v>
      </c>
      <c r="H134" s="54"/>
      <c r="I134" s="54"/>
      <c r="J134" s="134"/>
      <c r="K134" s="136"/>
      <c r="L134" s="134"/>
      <c r="M134" s="134"/>
      <c r="N134" s="37" t="str">
        <f>IF((D134&lt;=D$10)*AND(E134&lt;=E$10)*AND(F134&lt;=F$10)*AND(G134&lt;=G$10)*AND(H134&lt;=H$10)*AND(I134&lt;=I$10)*AND(K134&lt;=K$10)*AND(L134&lt;=L$10)*AND(M134&lt;=M$10)*AND(J134&lt;=J$10),"Выполнено","ПРОВЕРИТЬ (таких муниципальных образований не может быть больше их общего числа)")</f>
        <v>Выполнено</v>
      </c>
      <c r="O134" s="79" t="str">
        <f>IF(((E134=0)),"   ","Подсказка - правила благоустройства обычно (за редкими исключениями) не принимаются в муниципальных районах, возможна ошибка)")</f>
        <v xml:space="preserve">   </v>
      </c>
      <c r="P134" s="44"/>
    </row>
    <row r="135" spans="2:16" ht="60" x14ac:dyDescent="0.25">
      <c r="B135" s="109" t="s">
        <v>585</v>
      </c>
      <c r="C135" s="216" t="s">
        <v>1014</v>
      </c>
      <c r="D135" s="72">
        <f>G135</f>
        <v>0</v>
      </c>
      <c r="E135" s="147"/>
      <c r="F135" s="147"/>
      <c r="G135" s="136"/>
      <c r="H135" s="147"/>
      <c r="I135" s="147"/>
      <c r="J135" s="154"/>
      <c r="K135" s="147"/>
      <c r="L135" s="147"/>
      <c r="M135" s="147"/>
      <c r="N135" s="37" t="str">
        <f>IF((G135&lt;=G$10),"Выполнено","ПРОВЕРИТЬ (таких сельских поселений не может быть больше их общего числа)")</f>
        <v>Выполнено</v>
      </c>
      <c r="O135" s="75"/>
      <c r="P135" s="44"/>
    </row>
    <row r="136" spans="2:16" s="73" customFormat="1" ht="45" x14ac:dyDescent="0.25">
      <c r="B136" s="109" t="s">
        <v>871</v>
      </c>
      <c r="C136" s="216" t="s">
        <v>559</v>
      </c>
      <c r="D136" s="72">
        <f t="shared" ref="D136" si="23">SUM(E136:I136)+SUM(K136:M136)</f>
        <v>0</v>
      </c>
      <c r="E136" s="136"/>
      <c r="F136" s="136"/>
      <c r="G136" s="136"/>
      <c r="H136" s="136"/>
      <c r="I136" s="136"/>
      <c r="J136" s="134"/>
      <c r="K136" s="136"/>
      <c r="L136" s="134"/>
      <c r="M136" s="134"/>
      <c r="N136" s="85" t="s">
        <v>873</v>
      </c>
      <c r="O136" s="75"/>
      <c r="P136" s="77"/>
    </row>
    <row r="137" spans="2:16" s="73" customFormat="1" ht="75" x14ac:dyDescent="0.25">
      <c r="B137" s="108" t="s">
        <v>872</v>
      </c>
      <c r="C137" s="217" t="s">
        <v>1026</v>
      </c>
      <c r="D137" s="72">
        <f t="shared" ref="D137:D177" si="24">SUM(E137:I137)+SUM(K137:M137)</f>
        <v>0</v>
      </c>
      <c r="E137" s="135"/>
      <c r="F137" s="134"/>
      <c r="G137" s="134"/>
      <c r="H137" s="135"/>
      <c r="I137" s="135"/>
      <c r="J137" s="135"/>
      <c r="K137" s="135"/>
      <c r="L137" s="134"/>
      <c r="M137" s="134"/>
      <c r="N137" s="75"/>
      <c r="O137" s="75"/>
      <c r="P137" s="77"/>
    </row>
    <row r="138" spans="2:16" s="73" customFormat="1" ht="60" x14ac:dyDescent="0.25">
      <c r="B138" s="108" t="s">
        <v>870</v>
      </c>
      <c r="C138" s="217" t="s">
        <v>1027</v>
      </c>
      <c r="D138" s="72">
        <f t="shared" si="24"/>
        <v>0</v>
      </c>
      <c r="E138" s="136"/>
      <c r="F138" s="136"/>
      <c r="G138" s="136"/>
      <c r="H138" s="136"/>
      <c r="I138" s="136"/>
      <c r="J138" s="135"/>
      <c r="K138" s="135"/>
      <c r="L138" s="134"/>
      <c r="M138" s="134"/>
      <c r="N138" s="75"/>
      <c r="O138" s="75"/>
      <c r="P138" s="77"/>
    </row>
    <row r="139" spans="2:16" x14ac:dyDescent="0.25">
      <c r="B139" s="106" t="s">
        <v>286</v>
      </c>
      <c r="C139" s="215" t="s">
        <v>311</v>
      </c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33"/>
      <c r="O139" s="74"/>
      <c r="P139" s="44"/>
    </row>
    <row r="140" spans="2:16" ht="30" x14ac:dyDescent="0.25">
      <c r="B140" s="107" t="s">
        <v>4</v>
      </c>
      <c r="C140" s="216" t="s">
        <v>1028</v>
      </c>
      <c r="D140" s="72">
        <f t="shared" si="24"/>
        <v>12</v>
      </c>
      <c r="E140" s="134">
        <v>1</v>
      </c>
      <c r="F140" s="134"/>
      <c r="G140" s="230">
        <v>11</v>
      </c>
      <c r="H140" s="134"/>
      <c r="I140" s="134"/>
      <c r="J140" s="134"/>
      <c r="K140" s="134"/>
      <c r="L140" s="134"/>
      <c r="M140" s="134"/>
      <c r="N140" s="31"/>
      <c r="O140" s="79" t="str">
        <f>IF(((D140=D11)*AND(E140=E11)*AND(F140=F11)*AND(G140=G11)*AND(H140=H11)*AND(I140=I11)*AND(K140=K11)*AND(L140=L11)*AND(M140=M11)*AND(J140=J11)),"   ","Подсказка - эти числа чаще всего совпадают с количеством муниципалитетов по видам на начало года, но могут и отличаться от них ввиду недавних изменений территориальной организации МСУ")</f>
        <v xml:space="preserve">   </v>
      </c>
      <c r="P140" s="44"/>
    </row>
    <row r="141" spans="2:16" ht="30" x14ac:dyDescent="0.25">
      <c r="B141" s="107" t="s">
        <v>586</v>
      </c>
      <c r="C141" s="216" t="s">
        <v>1029</v>
      </c>
      <c r="D141" s="72">
        <f t="shared" si="24"/>
        <v>0</v>
      </c>
      <c r="E141" s="135"/>
      <c r="F141" s="135"/>
      <c r="G141" s="135"/>
      <c r="H141" s="135"/>
      <c r="I141" s="135"/>
      <c r="J141" s="135"/>
      <c r="K141" s="135"/>
      <c r="L141" s="135"/>
      <c r="M141" s="135"/>
      <c r="N141" s="37" t="str">
        <f>IF((D141&lt;=D140)*AND(E141&lt;=E140)*AND(F141&lt;=F140)*AND(G141&lt;=G140)*AND(H141&lt;=H140)*AND(I141&lt;=I140)*AND(K141&lt;=K140)*AND(L141&lt;=L140)*AND(M141&lt;=M140)*AND(J141&lt;=J140),"Выполнено","ПРОВЕРИТЬ (бюджеты принимаются в муниципальных образованиях, являющимися участниками бюджетного процесса в соответствующем году)
)")</f>
        <v>Выполнено</v>
      </c>
      <c r="O141" s="79" t="str">
        <f>IF(((D141=D140)*AND(E141=E140)*AND(F141=F140)*AND(G141=G140)*AND(H141=H140)*AND(I141=I140)*AND(K141=K140)*AND(L141=L140)*AND(M141=M140)*AND(J141=J140)),"   ","Нужно заполнить пункт 18 текстовой части - муниципалитеты, не имеющие принятых бюджетов на очередной финансовый год.")</f>
        <v>Нужно заполнить пункт 18 текстовой части - муниципалитеты, не имеющие принятых бюджетов на очередной финансовый год.</v>
      </c>
      <c r="P141" s="44"/>
    </row>
    <row r="142" spans="2:16" ht="30" x14ac:dyDescent="0.25">
      <c r="B142" s="107" t="s">
        <v>287</v>
      </c>
      <c r="C142" s="216" t="s">
        <v>1030</v>
      </c>
      <c r="D142" s="72">
        <f t="shared" si="24"/>
        <v>1</v>
      </c>
      <c r="E142" s="133">
        <f t="shared" ref="E142:M142" si="25">SUM(E143:E148)</f>
        <v>0</v>
      </c>
      <c r="F142" s="133">
        <f t="shared" si="25"/>
        <v>0</v>
      </c>
      <c r="G142" s="133">
        <f t="shared" si="25"/>
        <v>1</v>
      </c>
      <c r="H142" s="133">
        <f t="shared" si="25"/>
        <v>0</v>
      </c>
      <c r="I142" s="133">
        <f t="shared" si="25"/>
        <v>0</v>
      </c>
      <c r="J142" s="133">
        <f t="shared" si="25"/>
        <v>0</v>
      </c>
      <c r="K142" s="133">
        <f t="shared" si="25"/>
        <v>0</v>
      </c>
      <c r="L142" s="133">
        <f t="shared" si="25"/>
        <v>0</v>
      </c>
      <c r="M142" s="133">
        <f t="shared" si="25"/>
        <v>0</v>
      </c>
      <c r="N142" s="37" t="str">
        <f>IF((D142=D141)*AND(E142=E141)*AND(F142=F141)*AND(G142=G141)*AND(H142=H141)*AND(I142=I141)*AND(K142=K141)*AND(L142=L141)*AND(M142=M141)*AND(J142=J141),"Выполнено","ПРОВЕРИТЬ (этот показатель считается по принятым местным бюджетам)")</f>
        <v>ПРОВЕРИТЬ (этот показатель считается по принятым местным бюджетам)</v>
      </c>
      <c r="O142" s="32"/>
      <c r="P142" s="44"/>
    </row>
    <row r="143" spans="2:16" x14ac:dyDescent="0.25">
      <c r="B143" s="108" t="s">
        <v>587</v>
      </c>
      <c r="C143" s="217" t="s">
        <v>280</v>
      </c>
      <c r="D143" s="72">
        <f t="shared" si="24"/>
        <v>0</v>
      </c>
      <c r="E143" s="135"/>
      <c r="F143" s="135"/>
      <c r="G143" s="135"/>
      <c r="H143" s="135"/>
      <c r="I143" s="135"/>
      <c r="J143" s="135"/>
      <c r="K143" s="135"/>
      <c r="L143" s="135"/>
      <c r="M143" s="135"/>
      <c r="N143" s="32"/>
      <c r="O143" s="79" t="str">
        <f>IF(((D143=0)),"   ","Нужно заполнить пункт 19 текстовой части - муниципалитеты с доходами бюджетов менее 1 млн руб.")</f>
        <v xml:space="preserve">   </v>
      </c>
      <c r="P143" s="77"/>
    </row>
    <row r="144" spans="2:16" x14ac:dyDescent="0.25">
      <c r="B144" s="108" t="s">
        <v>588</v>
      </c>
      <c r="C144" s="217" t="s">
        <v>874</v>
      </c>
      <c r="D144" s="72">
        <f t="shared" si="24"/>
        <v>1</v>
      </c>
      <c r="E144" s="122"/>
      <c r="F144" s="122"/>
      <c r="G144" s="123">
        <v>1</v>
      </c>
      <c r="H144" s="122"/>
      <c r="I144" s="122"/>
      <c r="J144" s="135"/>
      <c r="K144" s="135"/>
      <c r="L144" s="134"/>
      <c r="M144" s="134"/>
      <c r="N144" s="32"/>
      <c r="O144" s="79" t="str">
        <f>IF(((E144+F144+H144+I144+K144=0)),"   ","Нужно заполнить пункт 19 текстовой части - поселения с нехарактерно малыми бюджетами")</f>
        <v xml:space="preserve">   </v>
      </c>
      <c r="P144" s="44"/>
    </row>
    <row r="145" spans="1:16" x14ac:dyDescent="0.25">
      <c r="B145" s="107" t="s">
        <v>878</v>
      </c>
      <c r="C145" s="216" t="s">
        <v>875</v>
      </c>
      <c r="D145" s="72">
        <f t="shared" si="24"/>
        <v>0</v>
      </c>
      <c r="E145" s="124"/>
      <c r="F145" s="124"/>
      <c r="G145" s="124"/>
      <c r="H145" s="124"/>
      <c r="I145" s="124"/>
      <c r="J145" s="134"/>
      <c r="K145" s="134"/>
      <c r="L145" s="134"/>
      <c r="M145" s="134"/>
      <c r="N145" s="32"/>
      <c r="O145" s="32"/>
      <c r="P145" s="44"/>
    </row>
    <row r="146" spans="1:16" x14ac:dyDescent="0.25">
      <c r="B146" s="108" t="s">
        <v>589</v>
      </c>
      <c r="C146" s="217" t="s">
        <v>876</v>
      </c>
      <c r="D146" s="72">
        <f t="shared" si="24"/>
        <v>0</v>
      </c>
      <c r="E146" s="123"/>
      <c r="F146" s="123"/>
      <c r="G146" s="122"/>
      <c r="H146" s="123"/>
      <c r="I146" s="123"/>
      <c r="J146" s="136"/>
      <c r="K146" s="136"/>
      <c r="L146" s="136"/>
      <c r="M146" s="136"/>
      <c r="N146" s="32"/>
      <c r="O146" s="79" t="str">
        <f>IF(((G146=0)),"   ","Нужно заполнить пункт 19 текстовой части - сельские поселения с нехарактерно большими бюджетами")</f>
        <v xml:space="preserve">   </v>
      </c>
      <c r="P146" s="44"/>
    </row>
    <row r="147" spans="1:16" x14ac:dyDescent="0.25">
      <c r="B147" s="108" t="s">
        <v>879</v>
      </c>
      <c r="C147" s="217" t="s">
        <v>877</v>
      </c>
      <c r="D147" s="72">
        <f t="shared" si="24"/>
        <v>0</v>
      </c>
      <c r="E147" s="122"/>
      <c r="F147" s="122"/>
      <c r="G147" s="122"/>
      <c r="H147" s="122"/>
      <c r="I147" s="122"/>
      <c r="J147" s="135"/>
      <c r="K147" s="135"/>
      <c r="L147" s="135"/>
      <c r="M147" s="135"/>
      <c r="N147" s="32"/>
      <c r="O147" s="79" t="str">
        <f>IF(((D147=0)),"   ","Нужно заполнить пункт 19 текстовой части - муниципалитеты с доходами бюджетов более 1 млрд руб")</f>
        <v xml:space="preserve">   </v>
      </c>
      <c r="P147" s="44"/>
    </row>
    <row r="148" spans="1:16" s="73" customFormat="1" x14ac:dyDescent="0.25">
      <c r="B148" s="108" t="s">
        <v>880</v>
      </c>
      <c r="C148" s="217" t="s">
        <v>852</v>
      </c>
      <c r="D148" s="72">
        <f t="shared" si="24"/>
        <v>0</v>
      </c>
      <c r="E148" s="122"/>
      <c r="F148" s="122"/>
      <c r="G148" s="122"/>
      <c r="H148" s="122"/>
      <c r="I148" s="122"/>
      <c r="J148" s="135"/>
      <c r="K148" s="135"/>
      <c r="L148" s="135"/>
      <c r="M148" s="135"/>
      <c r="N148" s="32"/>
      <c r="O148" s="79" t="str">
        <f>IF(((D148=0)),"   ","Нужно заполнить пункт 18 текстовой части")</f>
        <v xml:space="preserve">   </v>
      </c>
      <c r="P148" s="77"/>
    </row>
    <row r="149" spans="1:16" s="21" customFormat="1" ht="60" x14ac:dyDescent="0.25">
      <c r="B149" s="115" t="s">
        <v>881</v>
      </c>
      <c r="C149" s="219" t="s">
        <v>1031</v>
      </c>
      <c r="D149" s="72">
        <f t="shared" si="24"/>
        <v>0</v>
      </c>
      <c r="E149" s="133">
        <f>SUM(E150:E152)</f>
        <v>0</v>
      </c>
      <c r="F149" s="133">
        <f t="shared" ref="F149:M149" si="26">SUM(F150:F152)</f>
        <v>0</v>
      </c>
      <c r="G149" s="133">
        <f t="shared" si="26"/>
        <v>0</v>
      </c>
      <c r="H149" s="133">
        <f t="shared" si="26"/>
        <v>0</v>
      </c>
      <c r="I149" s="133">
        <f t="shared" si="26"/>
        <v>0</v>
      </c>
      <c r="J149" s="133">
        <f t="shared" si="26"/>
        <v>0</v>
      </c>
      <c r="K149" s="133">
        <f t="shared" si="26"/>
        <v>0</v>
      </c>
      <c r="L149" s="133">
        <f t="shared" si="26"/>
        <v>0</v>
      </c>
      <c r="M149" s="133">
        <f t="shared" si="26"/>
        <v>0</v>
      </c>
      <c r="N149" s="37" t="str">
        <f>IF((D149&lt;=D$140)*AND(E149&lt;=E$140)*AND(F149&lt;=F$140)*AND(G149&lt;=G$140)*AND(H149&lt;=H$140)*AND(I149&lt;=I$140)*AND(K149&lt;=K$140)*AND(L149&lt;=L$140)*AND(M149&lt;=M$140)*AND(J149&lt;=J$140),"Выполнено","ПРОВЕРИТЬ (таких муниципалитетов не может быть больше чем муниципалитетов - участников бюджетного процесса в соответствующем году)
)")</f>
        <v>Выполнено</v>
      </c>
      <c r="O149" s="74"/>
    </row>
    <row r="150" spans="1:16" s="21" customFormat="1" ht="75" x14ac:dyDescent="0.25">
      <c r="B150" s="115" t="s">
        <v>882</v>
      </c>
      <c r="C150" s="219" t="s">
        <v>1437</v>
      </c>
      <c r="D150" s="72">
        <f t="shared" si="24"/>
        <v>0</v>
      </c>
      <c r="E150" s="125"/>
      <c r="F150" s="125"/>
      <c r="G150" s="125"/>
      <c r="H150" s="125"/>
      <c r="I150" s="125"/>
      <c r="J150" s="155"/>
      <c r="K150" s="155"/>
      <c r="L150" s="155"/>
      <c r="M150" s="155"/>
      <c r="N150" s="37" t="str">
        <f>IF((D150&lt;=D$140)*AND(E150&lt;=E$140)*AND(F150&lt;=F$140)*AND(G150&lt;=G$140)*AND(H150&lt;=H$140)*AND(I150&lt;=I$140)*AND(K150&lt;=K$140)*AND(L150&lt;=L$140)*AND(M150&lt;=M$140)*AND(J150&lt;=J$140),"Выполнено","ПРОВЕРИТЬ (таких муниципалитетов не может быть больше чем муниципалитетов - участников бюджетного процесса в соответствующем году)
)")</f>
        <v>Выполнено</v>
      </c>
      <c r="O150" s="32"/>
      <c r="P150" s="73"/>
    </row>
    <row r="151" spans="1:16" s="21" customFormat="1" ht="75" x14ac:dyDescent="0.25">
      <c r="B151" s="115" t="s">
        <v>883</v>
      </c>
      <c r="C151" s="219" t="s">
        <v>1438</v>
      </c>
      <c r="D151" s="72">
        <f t="shared" si="24"/>
        <v>0</v>
      </c>
      <c r="E151" s="125"/>
      <c r="F151" s="125"/>
      <c r="G151" s="125"/>
      <c r="H151" s="125"/>
      <c r="I151" s="125"/>
      <c r="J151" s="155"/>
      <c r="K151" s="155"/>
      <c r="L151" s="155"/>
      <c r="M151" s="155"/>
      <c r="N151" s="37" t="str">
        <f t="shared" ref="N151:N152" si="27">IF((D151&lt;=D$140)*AND(E151&lt;=E$140)*AND(F151&lt;=F$140)*AND(G151&lt;=G$140)*AND(H151&lt;=H$140)*AND(I151&lt;=I$140)*AND(K151&lt;=K$140)*AND(L151&lt;=L$140)*AND(M151&lt;=M$140)*AND(J151&lt;=J$140),"Выполнено","ПРОВЕРИТЬ (таких муниципалитетов не может быть больше чем муниципалитетов - участников бюджетного процесса в соответствующем году)
)")</f>
        <v>Выполнено</v>
      </c>
      <c r="O151" s="32"/>
    </row>
    <row r="152" spans="1:16" s="21" customFormat="1" ht="75" x14ac:dyDescent="0.25">
      <c r="B152" s="115" t="s">
        <v>884</v>
      </c>
      <c r="C152" s="219" t="s">
        <v>1439</v>
      </c>
      <c r="D152" s="72">
        <f t="shared" si="24"/>
        <v>0</v>
      </c>
      <c r="E152" s="125"/>
      <c r="F152" s="125"/>
      <c r="G152" s="125"/>
      <c r="H152" s="125"/>
      <c r="I152" s="125"/>
      <c r="J152" s="155"/>
      <c r="K152" s="155"/>
      <c r="L152" s="155"/>
      <c r="M152" s="155"/>
      <c r="N152" s="37" t="str">
        <f t="shared" si="27"/>
        <v>Выполнено</v>
      </c>
      <c r="O152" s="32"/>
      <c r="P152" s="46"/>
    </row>
    <row r="153" spans="1:16" s="21" customFormat="1" ht="45" x14ac:dyDescent="0.25">
      <c r="B153" s="116" t="s">
        <v>885</v>
      </c>
      <c r="C153" s="220" t="s">
        <v>1032</v>
      </c>
      <c r="D153" s="72">
        <f t="shared" si="24"/>
        <v>0</v>
      </c>
      <c r="E153" s="156"/>
      <c r="F153" s="156"/>
      <c r="G153" s="156"/>
      <c r="H153" s="156"/>
      <c r="I153" s="156"/>
      <c r="J153" s="156"/>
      <c r="K153" s="156"/>
      <c r="L153" s="156"/>
      <c r="M153" s="156"/>
      <c r="N153" s="32"/>
      <c r="O153" s="79" t="str">
        <f>IF(((D153=0)),"   ","Нужно заполнить пункт 20 текстовой части - о временных финансовых администрациях")</f>
        <v xml:space="preserve">   </v>
      </c>
      <c r="P153" s="42"/>
    </row>
    <row r="154" spans="1:16" s="21" customFormat="1" ht="60" x14ac:dyDescent="0.25">
      <c r="B154" s="117" t="s">
        <v>590</v>
      </c>
      <c r="C154" s="215" t="s">
        <v>1033</v>
      </c>
      <c r="D154" s="55"/>
      <c r="E154" s="56"/>
      <c r="F154" s="56"/>
      <c r="G154" s="56"/>
      <c r="H154" s="56"/>
      <c r="I154" s="56"/>
      <c r="J154" s="56"/>
      <c r="K154" s="56"/>
      <c r="L154" s="56"/>
      <c r="M154" s="56"/>
      <c r="N154" s="33"/>
      <c r="O154" s="74"/>
      <c r="P154" s="42"/>
    </row>
    <row r="155" spans="1:16" s="21" customFormat="1" ht="105" x14ac:dyDescent="0.25">
      <c r="B155" s="110" t="s">
        <v>17</v>
      </c>
      <c r="C155" s="216" t="s">
        <v>1440</v>
      </c>
      <c r="D155" s="72">
        <f t="shared" si="24"/>
        <v>0</v>
      </c>
      <c r="E155" s="123"/>
      <c r="F155" s="123"/>
      <c r="G155" s="123"/>
      <c r="H155" s="123"/>
      <c r="I155" s="123"/>
      <c r="J155" s="124"/>
      <c r="K155" s="136"/>
      <c r="L155" s="136"/>
      <c r="M155" s="136"/>
      <c r="N155" s="37" t="str">
        <f>IF((D155&lt;=D140)*AND(E155&lt;=E140)*AND(F155&lt;=F140)*AND(G155&lt;=G140)*AND(H155&lt;=H140)*AND(I155&lt;=I140)*AND(K155&lt;=K140)*AND(L155&lt;=L140)*AND(M155&lt;=M140)*AND(J155&lt;=J140),"Выполнено","ПРОВЕРИТЬ (адресатами делегированных госполномочий могут быть только муниципалитеты - участники бюджетного процесса в соответствующем финансовом году)
)")</f>
        <v>Выполнено</v>
      </c>
      <c r="O155" s="79" t="str">
        <f>IF(((E155=E140)*AND(H155=H140)*AND(I155=I140)*AND(K155=K140)*AND(J155=J140)),"   ","Подсказка - муниципальные районы, муниципальные и городские округа практически всегда осуществляют делегированные госполномочия")</f>
        <v>Подсказка - муниципальные районы, муниципальные и городские округа практически всегда осуществляют делегированные госполномочия</v>
      </c>
      <c r="P155" s="42"/>
    </row>
    <row r="156" spans="1:16" s="21" customFormat="1" ht="45" x14ac:dyDescent="0.25">
      <c r="B156" s="110" t="s">
        <v>591</v>
      </c>
      <c r="C156" s="216" t="s">
        <v>192</v>
      </c>
      <c r="D156" s="72">
        <f t="shared" si="24"/>
        <v>0</v>
      </c>
      <c r="E156" s="123"/>
      <c r="F156" s="123"/>
      <c r="G156" s="123"/>
      <c r="H156" s="123"/>
      <c r="I156" s="123"/>
      <c r="J156" s="124"/>
      <c r="K156" s="136"/>
      <c r="L156" s="136"/>
      <c r="M156" s="136"/>
      <c r="N156" s="37" t="str">
        <f>IF((D156&lt;=D155)*AND(E156&lt;=E155)*AND(F156&lt;=F155)*AND(G156&lt;=G155)*AND(H156&lt;=H155)*AND(I156&lt;=I155)*AND(K156&lt;=K155)*AND(L156&lt;=L155)*AND(M156&lt;=M155)*AND(J156&lt;=J155),"Выполнено","ПРОВЕРИТЬ (эта подстрока не может быть больше 10.1)
)")</f>
        <v>Выполнено</v>
      </c>
      <c r="O156" s="29"/>
      <c r="P156" s="42"/>
    </row>
    <row r="157" spans="1:16" s="6" customFormat="1" ht="45" x14ac:dyDescent="0.25">
      <c r="A157" s="71"/>
      <c r="B157" s="110" t="s">
        <v>592</v>
      </c>
      <c r="C157" s="216" t="s">
        <v>1034</v>
      </c>
      <c r="D157" s="72">
        <f t="shared" si="24"/>
        <v>0</v>
      </c>
      <c r="E157" s="123"/>
      <c r="F157" s="123"/>
      <c r="G157" s="123"/>
      <c r="H157" s="123"/>
      <c r="I157" s="123"/>
      <c r="J157" s="124"/>
      <c r="K157" s="136"/>
      <c r="L157" s="136"/>
      <c r="M157" s="153"/>
      <c r="N157" s="37" t="str">
        <f>IF((D157&lt;=D156)*AND(E157&lt;=E156)*AND(F157&lt;=F156)*AND(G157&lt;=G156)*AND(H157&lt;=H156)*AND(I157&lt;=I156)*AND(K157&lt;=K156)*AND(L157&lt;=L156)*AND(M157=0)*AND(J157&lt;=J156),"Выполнено","ПРОВЕРИТЬ (эта подстрока не может быть больше 10.1.1 (все делегированные федеральные госполномочия), в городах федерального значения эта функция делегируется муниципалитетам опосредованно через сами города, см. строку 10.1.2.1)
)")</f>
        <v>Выполнено</v>
      </c>
      <c r="O157" s="29"/>
      <c r="P157" s="46"/>
    </row>
    <row r="158" spans="1:16" s="6" customFormat="1" ht="45" x14ac:dyDescent="0.25">
      <c r="B158" s="108" t="s">
        <v>593</v>
      </c>
      <c r="C158" s="217" t="s">
        <v>886</v>
      </c>
      <c r="D158" s="72">
        <f t="shared" si="24"/>
        <v>1</v>
      </c>
      <c r="E158" s="122"/>
      <c r="F158" s="122"/>
      <c r="G158" s="122">
        <v>1</v>
      </c>
      <c r="H158" s="122"/>
      <c r="I158" s="122"/>
      <c r="J158" s="122"/>
      <c r="K158" s="135"/>
      <c r="L158" s="135"/>
      <c r="M158" s="135"/>
      <c r="N158" s="37" t="str">
        <f>IF((D158&lt;=D156)*AND(E158&lt;=E156)*AND(F158&lt;=F156)*AND(G158&lt;=G156)*AND(H158&lt;=H156)*AND(I158&lt;=I156)*AND(K158&lt;=K156)*AND(L158&lt;=L156)*AND(M158&lt;=M156)*AND(J158&lt;=J156),"Выполнено","ПРОВЕРИТЬ (эта подстрока не может быть больше 11.1.1)
)")</f>
        <v>ПРОВЕРИТЬ (эта подстрока не может быть больше 11.1.1)
)</v>
      </c>
      <c r="O158" s="79" t="str">
        <f>IF(((D158=0)),"   ","Нужно заполнить пункт 21 текстовой части - об органах местного самоуправления, осуществляющих первичный воинский учет")</f>
        <v>Нужно заполнить пункт 21 текстовой части - об органах местного самоуправления, осуществляющих первичный воинский учет</v>
      </c>
      <c r="P158" s="45"/>
    </row>
    <row r="159" spans="1:16" s="6" customFormat="1" ht="135" x14ac:dyDescent="0.25">
      <c r="B159" s="110" t="s">
        <v>594</v>
      </c>
      <c r="C159" s="216" t="s">
        <v>1142</v>
      </c>
      <c r="D159" s="72">
        <f t="shared" si="24"/>
        <v>0</v>
      </c>
      <c r="E159" s="123"/>
      <c r="F159" s="123"/>
      <c r="G159" s="123"/>
      <c r="H159" s="123"/>
      <c r="I159" s="123"/>
      <c r="J159" s="124"/>
      <c r="K159" s="136"/>
      <c r="L159" s="136"/>
      <c r="M159" s="136"/>
      <c r="N159" s="37" t="str">
        <f>IF((D159&lt;=D155)*AND(E159&lt;=E155)*AND(F159&lt;=F155)*AND(G159&lt;=G155)*AND(H159&lt;=H155)*AND(I159&lt;=I155)*AND(K159&lt;=K155)*AND(L159&lt;=L155)*AND(M159&lt;=M155)*AND(J159&lt;=J155),"Выполнено","ПРОВЕРИТЬ (эта подстрока не может быть больше 10.1)
)")</f>
        <v>Выполнено</v>
      </c>
      <c r="O159" s="32"/>
      <c r="P159" s="42"/>
    </row>
    <row r="160" spans="1:16" s="6" customFormat="1" ht="60" x14ac:dyDescent="0.25">
      <c r="B160" s="110" t="s">
        <v>595</v>
      </c>
      <c r="C160" s="216" t="s">
        <v>1035</v>
      </c>
      <c r="D160" s="72">
        <f>M160</f>
        <v>0</v>
      </c>
      <c r="E160" s="157"/>
      <c r="F160" s="147"/>
      <c r="G160" s="147"/>
      <c r="H160" s="147"/>
      <c r="I160" s="147"/>
      <c r="J160" s="147"/>
      <c r="K160" s="147"/>
      <c r="L160" s="154"/>
      <c r="M160" s="136"/>
      <c r="N160" s="51" t="str">
        <f>IF((M160&lt;=M159),"Выполнено","ПРОВЕРИТЬ (эта подстрока не может быть больше основной строки)")</f>
        <v>Выполнено</v>
      </c>
      <c r="O160" s="32"/>
      <c r="P160" s="42"/>
    </row>
    <row r="161" spans="2:16" s="6" customFormat="1" ht="75" x14ac:dyDescent="0.25">
      <c r="B161" s="110" t="s">
        <v>893</v>
      </c>
      <c r="C161" s="216" t="s">
        <v>891</v>
      </c>
      <c r="D161" s="72">
        <f t="shared" si="24"/>
        <v>0</v>
      </c>
      <c r="E161" s="123"/>
      <c r="F161" s="123"/>
      <c r="G161" s="123"/>
      <c r="H161" s="123"/>
      <c r="I161" s="123"/>
      <c r="J161" s="124"/>
      <c r="K161" s="136"/>
      <c r="L161" s="136"/>
      <c r="M161" s="136"/>
      <c r="N161" s="37" t="str">
        <f>IF((D161&lt;=D$159)*AND(E161&lt;=E$159)*AND(F161&lt;=F$159)*AND(G161&lt;=G$159)*AND(H161&lt;=H$159)*AND(I161&lt;=I$159)*AND(K161&lt;=K$159)*AND(L161&lt;=L$159)*AND(M161&lt;=M$159)*AND(J161&lt;=J$159),"Выполнено","ПРОВЕРИТЬ (эта подстрока не может быть больше 10.1.2)
)")</f>
        <v>Выполнено</v>
      </c>
      <c r="O161" s="32"/>
      <c r="P161" s="42"/>
    </row>
    <row r="162" spans="2:16" s="6" customFormat="1" ht="30" x14ac:dyDescent="0.25">
      <c r="B162" s="108" t="s">
        <v>894</v>
      </c>
      <c r="C162" s="217" t="s">
        <v>892</v>
      </c>
      <c r="D162" s="72">
        <f t="shared" si="24"/>
        <v>0</v>
      </c>
      <c r="E162" s="135"/>
      <c r="F162" s="135"/>
      <c r="G162" s="135"/>
      <c r="H162" s="135"/>
      <c r="I162" s="135"/>
      <c r="J162" s="135"/>
      <c r="K162" s="135"/>
      <c r="L162" s="135"/>
      <c r="M162" s="135"/>
      <c r="N162" s="37" t="str">
        <f>IF((D162&lt;=D$159)*AND(E162&lt;=E$159)*AND(F162&lt;=F$159)*AND(G162&lt;=G$159)*AND(H162&lt;=H$159)*AND(I162&lt;=I$159)*AND(K162&lt;=K$159)*AND(L162&lt;=L$159)*AND(M162&lt;=M$159)*AND(J162&lt;=J$159),"Выполнено","ПРОВЕРИТЬ (эта подстрока не может быть больше 10.1.2)
)")</f>
        <v>Выполнено</v>
      </c>
      <c r="O162" s="79" t="str">
        <f>IF(((D162=0)),"   ","Нужно заполнить пункт 22 текстовой части - об органах местного самоуправления, осуществляющих полномочия по регистрации актов гражданского состояния")</f>
        <v xml:space="preserve">   </v>
      </c>
      <c r="P162" s="47"/>
    </row>
    <row r="163" spans="2:16" s="6" customFormat="1" ht="60" x14ac:dyDescent="0.25">
      <c r="B163" s="110" t="s">
        <v>896</v>
      </c>
      <c r="C163" s="216" t="s">
        <v>895</v>
      </c>
      <c r="D163" s="72">
        <f t="shared" si="24"/>
        <v>0</v>
      </c>
      <c r="E163" s="136"/>
      <c r="F163" s="136"/>
      <c r="G163" s="136"/>
      <c r="H163" s="136"/>
      <c r="I163" s="136"/>
      <c r="J163" s="134"/>
      <c r="K163" s="136"/>
      <c r="L163" s="136"/>
      <c r="M163" s="136"/>
      <c r="N163" s="37" t="str">
        <f>IF((D163&lt;=D159)*AND(E163&lt;=E159)*AND(F163&lt;=F159)*AND(G163&lt;=G159)*AND(H163&lt;=H159)*AND(I163&lt;=I159)*AND(K163&lt;=K159)*AND(L163&lt;=L159)*AND(M163&lt;=M159)*AND(J163&lt;=J159),"Выполнено","ПРОВЕРИТЬ (эта подстрока не может быть больше 10.1.2)
)")</f>
        <v>Выполнено</v>
      </c>
      <c r="O163" s="32"/>
      <c r="P163" s="47"/>
    </row>
    <row r="164" spans="2:16" s="6" customFormat="1" ht="45" x14ac:dyDescent="0.25">
      <c r="B164" s="110" t="s">
        <v>897</v>
      </c>
      <c r="C164" s="216" t="s">
        <v>898</v>
      </c>
      <c r="D164" s="72">
        <f t="shared" si="24"/>
        <v>0</v>
      </c>
      <c r="E164" s="136"/>
      <c r="F164" s="136"/>
      <c r="G164" s="136"/>
      <c r="H164" s="136"/>
      <c r="I164" s="136"/>
      <c r="J164" s="134"/>
      <c r="K164" s="136"/>
      <c r="L164" s="136"/>
      <c r="M164" s="136"/>
      <c r="N164" s="37" t="str">
        <f>IF((D164&lt;=D$163)*AND(E164&lt;=E$163)*AND(F164&lt;=F$163)*AND(G164&lt;=G$163)*AND(H164&lt;=H$163)*AND(I164&lt;=I$163)*AND(K164&lt;=K$163)*AND(L164&lt;=L$163)*AND(M164&lt;=M$163)*AND(J164&lt;=J$163),"Выполнено","ПРОВЕРИТЬ (эта подстрока не может быть больше 10.1.2.4)
)")</f>
        <v>Выполнено</v>
      </c>
      <c r="O164" s="32"/>
      <c r="P164" s="47"/>
    </row>
    <row r="165" spans="2:16" s="6" customFormat="1" ht="30" x14ac:dyDescent="0.25">
      <c r="B165" s="110" t="s">
        <v>899</v>
      </c>
      <c r="C165" s="216" t="s">
        <v>1001</v>
      </c>
      <c r="D165" s="72">
        <f t="shared" si="24"/>
        <v>0</v>
      </c>
      <c r="E165" s="136"/>
      <c r="F165" s="136"/>
      <c r="G165" s="136"/>
      <c r="H165" s="136"/>
      <c r="I165" s="136"/>
      <c r="J165" s="134"/>
      <c r="K165" s="136"/>
      <c r="L165" s="136"/>
      <c r="M165" s="136"/>
      <c r="N165" s="37" t="str">
        <f t="shared" ref="N165:N170" si="28">IF((D165&lt;=D$163)*AND(E165&lt;=E$163)*AND(F165&lt;=F$163)*AND(G165&lt;=G$163)*AND(H165&lt;=H$163)*AND(I165&lt;=I$163)*AND(K165&lt;=K$163)*AND(L165&lt;=L$163)*AND(M165&lt;=M$163)*AND(J165&lt;=J$163),"Выполнено","ПРОВЕРИТЬ (эта подстрока не может быть больше 10.1.2.4)
)")</f>
        <v>Выполнено</v>
      </c>
      <c r="O165" s="32"/>
      <c r="P165" s="47"/>
    </row>
    <row r="166" spans="2:16" s="6" customFormat="1" ht="45" x14ac:dyDescent="0.25">
      <c r="B166" s="110" t="s">
        <v>900</v>
      </c>
      <c r="C166" s="216" t="s">
        <v>1002</v>
      </c>
      <c r="D166" s="72">
        <f t="shared" si="24"/>
        <v>0</v>
      </c>
      <c r="E166" s="136"/>
      <c r="F166" s="136"/>
      <c r="G166" s="136"/>
      <c r="H166" s="136"/>
      <c r="I166" s="136"/>
      <c r="J166" s="134"/>
      <c r="K166" s="136"/>
      <c r="L166" s="136"/>
      <c r="M166" s="136"/>
      <c r="N166" s="37" t="str">
        <f t="shared" si="28"/>
        <v>Выполнено</v>
      </c>
      <c r="O166" s="32"/>
      <c r="P166" s="47"/>
    </row>
    <row r="167" spans="2:16" s="6" customFormat="1" ht="45" x14ac:dyDescent="0.25">
      <c r="B167" s="110" t="s">
        <v>901</v>
      </c>
      <c r="C167" s="216" t="s">
        <v>902</v>
      </c>
      <c r="D167" s="72">
        <f t="shared" si="24"/>
        <v>0</v>
      </c>
      <c r="E167" s="136"/>
      <c r="F167" s="136"/>
      <c r="G167" s="136"/>
      <c r="H167" s="136"/>
      <c r="I167" s="136"/>
      <c r="J167" s="134"/>
      <c r="K167" s="136"/>
      <c r="L167" s="136"/>
      <c r="M167" s="136"/>
      <c r="N167" s="37" t="str">
        <f t="shared" si="28"/>
        <v>Выполнено</v>
      </c>
      <c r="O167" s="32"/>
      <c r="P167" s="47"/>
    </row>
    <row r="168" spans="2:16" s="6" customFormat="1" ht="75" x14ac:dyDescent="0.25">
      <c r="B168" s="110" t="s">
        <v>903</v>
      </c>
      <c r="C168" s="216" t="s">
        <v>904</v>
      </c>
      <c r="D168" s="72">
        <f t="shared" si="24"/>
        <v>0</v>
      </c>
      <c r="E168" s="136"/>
      <c r="F168" s="136"/>
      <c r="G168" s="136"/>
      <c r="H168" s="136"/>
      <c r="I168" s="136"/>
      <c r="J168" s="134"/>
      <c r="K168" s="136"/>
      <c r="L168" s="136"/>
      <c r="M168" s="136"/>
      <c r="N168" s="37" t="str">
        <f t="shared" si="28"/>
        <v>Выполнено</v>
      </c>
      <c r="O168" s="32"/>
      <c r="P168" s="47"/>
    </row>
    <row r="169" spans="2:16" s="6" customFormat="1" ht="45" x14ac:dyDescent="0.25">
      <c r="B169" s="110" t="s">
        <v>905</v>
      </c>
      <c r="C169" s="216" t="s">
        <v>907</v>
      </c>
      <c r="D169" s="72">
        <f t="shared" si="24"/>
        <v>0</v>
      </c>
      <c r="E169" s="136"/>
      <c r="F169" s="136"/>
      <c r="G169" s="136"/>
      <c r="H169" s="136"/>
      <c r="I169" s="136"/>
      <c r="J169" s="134"/>
      <c r="K169" s="136"/>
      <c r="L169" s="136"/>
      <c r="M169" s="136"/>
      <c r="N169" s="37" t="str">
        <f t="shared" si="28"/>
        <v>Выполнено</v>
      </c>
      <c r="O169" s="32"/>
      <c r="P169" s="47"/>
    </row>
    <row r="170" spans="2:16" s="6" customFormat="1" ht="30" x14ac:dyDescent="0.25">
      <c r="B170" s="110" t="s">
        <v>906</v>
      </c>
      <c r="C170" s="216" t="s">
        <v>1015</v>
      </c>
      <c r="D170" s="72">
        <f t="shared" si="24"/>
        <v>0</v>
      </c>
      <c r="E170" s="136"/>
      <c r="F170" s="136"/>
      <c r="G170" s="136"/>
      <c r="H170" s="136"/>
      <c r="I170" s="136"/>
      <c r="J170" s="134"/>
      <c r="K170" s="136"/>
      <c r="L170" s="136"/>
      <c r="M170" s="136"/>
      <c r="N170" s="37" t="str">
        <f t="shared" si="28"/>
        <v>Выполнено</v>
      </c>
      <c r="O170" s="32"/>
      <c r="P170" s="47"/>
    </row>
    <row r="171" spans="2:16" s="6" customFormat="1" ht="165" x14ac:dyDescent="0.25">
      <c r="B171" s="110" t="s">
        <v>596</v>
      </c>
      <c r="C171" s="216" t="s">
        <v>1441</v>
      </c>
      <c r="D171" s="72">
        <f t="shared" si="24"/>
        <v>0</v>
      </c>
      <c r="E171" s="124"/>
      <c r="F171" s="124"/>
      <c r="G171" s="124"/>
      <c r="H171" s="124"/>
      <c r="I171" s="124"/>
      <c r="J171" s="124"/>
      <c r="K171" s="134"/>
      <c r="L171" s="134"/>
      <c r="M171" s="134"/>
      <c r="N171" s="37" t="str">
        <f>IF((D171&lt;=D155)*AND(E171&lt;=E155)*AND(F171&lt;=F155)*AND(G171&lt;=G155)*AND(H171&lt;=H155)*AND(I171&lt;=I155)*AND(K171&lt;=K155)*AND(L171&lt;=L155)*AND(M171&lt;=M155)*AND(J171&lt;=J155),"Выполнено","ПРОВЕРИТЬ (эта подстрока не может быть больше 10.1)
)")</f>
        <v>Выполнено</v>
      </c>
      <c r="O171" s="79" t="str">
        <f>IF(((E171=E140)*AND(H171=H140)*AND(I171=I140)*AND(K171=K140)*AND(J171=J140)),"   ","Подсказка - муниципальные районы, муниципальные и городские округа практически всегда осуществляют делегированные госполномочия субъекта Российской Федерации")</f>
        <v>Подсказка - муниципальные районы, муниципальные и городские округа практически всегда осуществляют делегированные госполномочия субъекта Российской Федерации</v>
      </c>
      <c r="P171" s="47"/>
    </row>
    <row r="172" spans="2:16" s="6" customFormat="1" ht="30" x14ac:dyDescent="0.25">
      <c r="B172" s="110" t="s">
        <v>597</v>
      </c>
      <c r="C172" s="216" t="s">
        <v>1003</v>
      </c>
      <c r="D172" s="72">
        <f t="shared" si="24"/>
        <v>0</v>
      </c>
      <c r="E172" s="123"/>
      <c r="F172" s="123"/>
      <c r="G172" s="123"/>
      <c r="H172" s="123"/>
      <c r="I172" s="123"/>
      <c r="J172" s="124"/>
      <c r="K172" s="136"/>
      <c r="L172" s="136"/>
      <c r="M172" s="136"/>
      <c r="N172" s="37" t="str">
        <f>IF((D172&lt;=D171)*AND(E172&lt;=E171)*AND(F172&lt;=F171)*AND(G172&lt;=G171)*AND(H172&lt;=H171)*AND(I172&lt;=I171)*AND(K172&lt;=K171)*AND(L172&lt;=L171)*AND(M172&lt;=M171)*AND(J172&lt;=J171),"Выполнено","ПРОВЕРИТЬ (эта подстрока не может быть больше 10.1.3)
)")</f>
        <v>Выполнено</v>
      </c>
      <c r="O172" s="75"/>
      <c r="P172" s="47"/>
    </row>
    <row r="173" spans="2:16" s="6" customFormat="1" ht="75" x14ac:dyDescent="0.25">
      <c r="B173" s="110" t="s">
        <v>889</v>
      </c>
      <c r="C173" s="216" t="s">
        <v>1141</v>
      </c>
      <c r="D173" s="72">
        <f>E173+K173</f>
        <v>0</v>
      </c>
      <c r="E173" s="136"/>
      <c r="F173" s="147"/>
      <c r="G173" s="147"/>
      <c r="H173" s="147"/>
      <c r="I173" s="147"/>
      <c r="J173" s="147"/>
      <c r="K173" s="136"/>
      <c r="L173" s="147"/>
      <c r="M173" s="147"/>
      <c r="N173" s="86" t="str">
        <f>IF((E173&lt;=E172)*AND(K173&lt;=K172),"Выполнено","ПРОВЕРИТЬ (эта подстрока не может быть больше предыдущей)
)")</f>
        <v>Выполнено</v>
      </c>
      <c r="O173" s="75"/>
      <c r="P173" s="47"/>
    </row>
    <row r="174" spans="2:16" s="6" customFormat="1" ht="45" x14ac:dyDescent="0.25">
      <c r="B174" s="110" t="s">
        <v>598</v>
      </c>
      <c r="C174" s="216" t="s">
        <v>72</v>
      </c>
      <c r="D174" s="72">
        <f t="shared" si="24"/>
        <v>0</v>
      </c>
      <c r="E174" s="123"/>
      <c r="F174" s="123"/>
      <c r="G174" s="123"/>
      <c r="H174" s="123"/>
      <c r="I174" s="123"/>
      <c r="J174" s="124"/>
      <c r="K174" s="136"/>
      <c r="L174" s="136"/>
      <c r="M174" s="136"/>
      <c r="N174" s="37" t="str">
        <f>IF((D174&lt;=D171)*AND(E174&lt;=E171)*AND(F174&lt;=F171)*AND(G174&lt;=G171)*AND(H174&lt;=H171)*AND(I174&lt;=I171)*AND(K174&lt;=K171)*AND(L174&lt;=L171)*AND(M174&lt;=M171)*AND(J174&lt;=J171),"Выполнено","ПРОВЕРИТЬ (эта подстрока не может быть больше 10.1.3)
)")</f>
        <v>Выполнено</v>
      </c>
      <c r="O174" s="75"/>
      <c r="P174" s="47"/>
    </row>
    <row r="175" spans="2:16" s="6" customFormat="1" ht="90" x14ac:dyDescent="0.25">
      <c r="B175" s="110" t="s">
        <v>599</v>
      </c>
      <c r="C175" s="216" t="s">
        <v>888</v>
      </c>
      <c r="D175" s="72">
        <f t="shared" si="24"/>
        <v>0</v>
      </c>
      <c r="E175" s="123"/>
      <c r="F175" s="123"/>
      <c r="G175" s="123"/>
      <c r="H175" s="123"/>
      <c r="I175" s="123"/>
      <c r="J175" s="124"/>
      <c r="K175" s="136"/>
      <c r="L175" s="136"/>
      <c r="M175" s="136"/>
      <c r="N175" s="37" t="str">
        <f>IF((D175&lt;=D171)*AND(E175&lt;=E171)*AND(F175&lt;=F171)*AND(G175&lt;=G171)*AND(H175&lt;=H171)*AND(I175&lt;=I171)*AND(K175&lt;=K171)*AND(L175&lt;=L171)*AND(M175&lt;=M171)*AND(J175&lt;=J171),"Выполнено","ПРОВЕРИТЬ (эта подстрока не может быть больше 10.1.3)
)")</f>
        <v>Выполнено</v>
      </c>
      <c r="O175" s="75"/>
      <c r="P175" s="47"/>
    </row>
    <row r="176" spans="2:16" s="6" customFormat="1" ht="60" x14ac:dyDescent="0.25">
      <c r="B176" s="118" t="s">
        <v>600</v>
      </c>
      <c r="C176" s="221" t="s">
        <v>1442</v>
      </c>
      <c r="D176" s="72">
        <f t="shared" si="24"/>
        <v>12</v>
      </c>
      <c r="E176" s="126">
        <f t="shared" ref="E176:M176" si="29">E140-E155</f>
        <v>1</v>
      </c>
      <c r="F176" s="126">
        <f t="shared" si="29"/>
        <v>0</v>
      </c>
      <c r="G176" s="127">
        <f t="shared" si="29"/>
        <v>11</v>
      </c>
      <c r="H176" s="126">
        <f t="shared" si="29"/>
        <v>0</v>
      </c>
      <c r="I176" s="126">
        <f t="shared" si="29"/>
        <v>0</v>
      </c>
      <c r="J176" s="126">
        <f t="shared" si="29"/>
        <v>0</v>
      </c>
      <c r="K176" s="158">
        <f t="shared" si="29"/>
        <v>0</v>
      </c>
      <c r="L176" s="158">
        <f t="shared" si="29"/>
        <v>0</v>
      </c>
      <c r="M176" s="158">
        <f t="shared" si="29"/>
        <v>0</v>
      </c>
      <c r="N176" s="28"/>
      <c r="O176" s="79" t="str">
        <f>IF(((D176-G176=0)),"   ","Нужно заполнить пункт 23 текстовой части - об органах местного самоуправления, НЕ осуществляющих делегированные государственные полномочия")</f>
        <v>Нужно заполнить пункт 23 текстовой части - об органах местного самоуправления, НЕ осуществляющих делегированные государственные полномочия</v>
      </c>
      <c r="P176" s="47"/>
    </row>
    <row r="177" spans="2:16" s="6" customFormat="1" ht="105" x14ac:dyDescent="0.25">
      <c r="B177" s="108" t="s">
        <v>601</v>
      </c>
      <c r="C177" s="217" t="s">
        <v>1036</v>
      </c>
      <c r="D177" s="72">
        <f t="shared" si="24"/>
        <v>0</v>
      </c>
      <c r="E177" s="135">
        <v>0</v>
      </c>
      <c r="F177" s="135">
        <v>0</v>
      </c>
      <c r="G177" s="135">
        <v>0</v>
      </c>
      <c r="H177" s="135">
        <v>0</v>
      </c>
      <c r="I177" s="135">
        <v>0</v>
      </c>
      <c r="J177" s="135">
        <v>0</v>
      </c>
      <c r="K177" s="135"/>
      <c r="L177" s="135"/>
      <c r="M177" s="135"/>
      <c r="N177" s="37" t="str">
        <f>IF((D177&lt;=D140)*AND(E177&lt;=E140)*AND(F177&lt;=F140)*AND(G177&lt;=G140)*AND(H177&lt;=H140)*AND(I177&lt;=I140)*AND(K177&lt;=K140)*AND(L177&lt;=L140)*AND(M177&lt;=M140)*AND(J177&lt;=J140),"Выполнено","ПРОВЕРИТЬ (изъять полномочия в порядке перераспределения можно только у тех, кто обладал ими)
)")</f>
        <v>Выполнено</v>
      </c>
      <c r="O177" s="79" t="str">
        <f>IF(((D177=0)),"   ","Нужно заполнить пункт 24 текстовой части - о перераспределении полномочий")</f>
        <v xml:space="preserve">   </v>
      </c>
      <c r="P177" s="47"/>
    </row>
    <row r="178" spans="2:16" s="6" customFormat="1" ht="60" x14ac:dyDescent="0.25">
      <c r="B178" s="108" t="s">
        <v>602</v>
      </c>
      <c r="C178" s="217" t="s">
        <v>887</v>
      </c>
      <c r="D178" s="72">
        <f>E178+F178+H178+I178+SUM(K178:M178)</f>
        <v>0</v>
      </c>
      <c r="E178" s="135"/>
      <c r="F178" s="135"/>
      <c r="G178" s="153"/>
      <c r="H178" s="135"/>
      <c r="I178" s="135"/>
      <c r="J178" s="135"/>
      <c r="K178" s="135"/>
      <c r="L178" s="135"/>
      <c r="M178" s="135"/>
      <c r="N178" s="37" t="str">
        <f>IF((D178&lt;=D177)*AND(E178&lt;=E177)*AND(F178&lt;=F177)*AND(H178&lt;=H177)*AND(I178&lt;=I177)*AND(K178&lt;=K177)*AND(L178&lt;=L177)*AND(M178&lt;=M177)*AND(J178&lt;=J177),"Выполнено","ПРОВЕРИТЬ (эта подстрока не может быть больше 10.2)
)")</f>
        <v>Выполнено</v>
      </c>
      <c r="O178" s="79" t="str">
        <f>IF(((D178=0)),"   ","Нужно заполнить пункт 24 текстовой части - о перераспределении полномочий")</f>
        <v xml:space="preserve">   </v>
      </c>
      <c r="P178" s="47"/>
    </row>
    <row r="179" spans="2:16" s="6" customFormat="1" ht="75" x14ac:dyDescent="0.25">
      <c r="B179" s="107" t="s">
        <v>292</v>
      </c>
      <c r="C179" s="216" t="s">
        <v>1151</v>
      </c>
      <c r="D179" s="72">
        <f>G179</f>
        <v>0</v>
      </c>
      <c r="E179" s="157"/>
      <c r="F179" s="147"/>
      <c r="G179" s="133">
        <f>SUM(G180:G182)</f>
        <v>0</v>
      </c>
      <c r="H179" s="157"/>
      <c r="I179" s="147"/>
      <c r="J179" s="147"/>
      <c r="K179" s="147"/>
      <c r="L179" s="147"/>
      <c r="M179" s="147"/>
      <c r="N179" s="37" t="str">
        <f>IF((G179&lt;=G140),"Выполнено","ПРОВЕРИТЬ (таких сельских поселений не может быть больше общего числа сельских поселений - участников бюджетных правоотношений в соответствующем году)")</f>
        <v>Выполнено</v>
      </c>
      <c r="O179" s="75"/>
      <c r="P179" s="47"/>
    </row>
    <row r="180" spans="2:16" s="6" customFormat="1" ht="30" x14ac:dyDescent="0.25">
      <c r="B180" s="108" t="s">
        <v>331</v>
      </c>
      <c r="C180" s="217" t="s">
        <v>206</v>
      </c>
      <c r="D180" s="72">
        <f t="shared" ref="D180:D182" si="30">G180</f>
        <v>0</v>
      </c>
      <c r="E180" s="150"/>
      <c r="F180" s="152"/>
      <c r="G180" s="135"/>
      <c r="H180" s="151"/>
      <c r="I180" s="151"/>
      <c r="J180" s="151"/>
      <c r="K180" s="151"/>
      <c r="L180" s="151"/>
      <c r="M180" s="151"/>
      <c r="N180" s="28"/>
      <c r="O180" s="79" t="str">
        <f>IF(((D180=0)),"   ","Нужно заполнить пункт 25 текстовой части - о дополнительном закреплении вопросов местного значения за сельскими поселениями")</f>
        <v xml:space="preserve">   </v>
      </c>
      <c r="P180" s="42"/>
    </row>
    <row r="181" spans="2:16" s="6" customFormat="1" ht="30" x14ac:dyDescent="0.25">
      <c r="B181" s="108" t="s">
        <v>603</v>
      </c>
      <c r="C181" s="217" t="s">
        <v>307</v>
      </c>
      <c r="D181" s="72">
        <f t="shared" si="30"/>
        <v>0</v>
      </c>
      <c r="E181" s="150"/>
      <c r="F181" s="152"/>
      <c r="G181" s="135"/>
      <c r="H181" s="151"/>
      <c r="I181" s="151"/>
      <c r="J181" s="151"/>
      <c r="K181" s="151"/>
      <c r="L181" s="151"/>
      <c r="M181" s="151"/>
      <c r="N181" s="28"/>
      <c r="O181" s="79" t="str">
        <f>IF(((D181=0)),"   ","Нужно заполнить пункт 25 текстовой части - о дополнительном закреплении вопросов местного значения за сельскими поселениями")</f>
        <v xml:space="preserve">   </v>
      </c>
      <c r="P181" s="47"/>
    </row>
    <row r="182" spans="2:16" s="6" customFormat="1" ht="45" x14ac:dyDescent="0.25">
      <c r="B182" s="108" t="s">
        <v>460</v>
      </c>
      <c r="C182" s="217" t="s">
        <v>71</v>
      </c>
      <c r="D182" s="72">
        <f t="shared" si="30"/>
        <v>0</v>
      </c>
      <c r="E182" s="142"/>
      <c r="F182" s="144"/>
      <c r="G182" s="135"/>
      <c r="H182" s="151"/>
      <c r="I182" s="151"/>
      <c r="J182" s="151"/>
      <c r="K182" s="151"/>
      <c r="L182" s="151"/>
      <c r="M182" s="151"/>
      <c r="N182" s="28"/>
      <c r="O182" s="79" t="str">
        <f>IF(((D182=0)),"   ","Нужно заполнить пункт 25 текстовой части - о дополнительном закреплении вопросов местного значения за сельскими поселениями")</f>
        <v xml:space="preserve">   </v>
      </c>
      <c r="P182" s="47"/>
    </row>
    <row r="183" spans="2:16" s="6" customFormat="1" ht="75" x14ac:dyDescent="0.25">
      <c r="B183" s="108" t="s">
        <v>604</v>
      </c>
      <c r="C183" s="217" t="s">
        <v>371</v>
      </c>
      <c r="D183" s="72">
        <f>L183</f>
        <v>0</v>
      </c>
      <c r="E183" s="157"/>
      <c r="F183" s="147"/>
      <c r="G183" s="147"/>
      <c r="H183" s="147"/>
      <c r="I183" s="147"/>
      <c r="J183" s="147"/>
      <c r="K183" s="147"/>
      <c r="L183" s="135"/>
      <c r="M183" s="157"/>
      <c r="N183" s="37" t="str">
        <f>IF((L183&lt;=L140),"Выполнено","ПРОВЕРИТЬ (таких внутригородских райнов не может быть больше общего числа внутригородских районов - участников бюджетных правоотношений в соответствующем году)")</f>
        <v>Выполнено</v>
      </c>
      <c r="O183" s="79" t="str">
        <f>IF(((D183=0)),"   ","Нужно заполнить пункт 26 текстовой части - о дополнительном закреплении вопросов местного значения за внутригородскими районами")</f>
        <v xml:space="preserve">   </v>
      </c>
      <c r="P183" s="47"/>
    </row>
    <row r="184" spans="2:16" s="6" customFormat="1" ht="75" x14ac:dyDescent="0.25">
      <c r="B184" s="110" t="s">
        <v>558</v>
      </c>
      <c r="C184" s="216" t="s">
        <v>1443</v>
      </c>
      <c r="D184" s="87">
        <f>F184+G184</f>
        <v>7</v>
      </c>
      <c r="E184" s="88"/>
      <c r="F184" s="89">
        <f>F185+F186+F187</f>
        <v>0</v>
      </c>
      <c r="G184" s="89">
        <f>G185+G186+G187</f>
        <v>7</v>
      </c>
      <c r="H184" s="90"/>
      <c r="I184" s="90"/>
      <c r="J184" s="90"/>
      <c r="K184" s="90"/>
      <c r="L184" s="90"/>
      <c r="M184" s="90"/>
      <c r="N184" s="75"/>
      <c r="O184" s="91"/>
      <c r="P184" s="47"/>
    </row>
    <row r="185" spans="2:16" s="6" customFormat="1" ht="30" x14ac:dyDescent="0.25">
      <c r="B185" s="110" t="s">
        <v>560</v>
      </c>
      <c r="C185" s="216" t="s">
        <v>908</v>
      </c>
      <c r="D185" s="87">
        <f t="shared" ref="D185:D194" si="31">F185+G185</f>
        <v>6</v>
      </c>
      <c r="E185" s="88"/>
      <c r="F185" s="128"/>
      <c r="G185" s="129">
        <v>6</v>
      </c>
      <c r="H185" s="90"/>
      <c r="I185" s="90"/>
      <c r="J185" s="90"/>
      <c r="K185" s="90"/>
      <c r="L185" s="90"/>
      <c r="M185" s="90"/>
      <c r="N185" s="75"/>
      <c r="O185" s="91"/>
      <c r="P185" s="47"/>
    </row>
    <row r="186" spans="2:16" s="6" customFormat="1" ht="30" x14ac:dyDescent="0.25">
      <c r="B186" s="110" t="s">
        <v>561</v>
      </c>
      <c r="C186" s="216" t="s">
        <v>909</v>
      </c>
      <c r="D186" s="87">
        <f t="shared" si="31"/>
        <v>1</v>
      </c>
      <c r="E186" s="88"/>
      <c r="F186" s="128"/>
      <c r="G186" s="129">
        <v>1</v>
      </c>
      <c r="H186" s="90"/>
      <c r="I186" s="90"/>
      <c r="J186" s="90"/>
      <c r="K186" s="90"/>
      <c r="L186" s="90"/>
      <c r="M186" s="90"/>
      <c r="N186" s="75"/>
      <c r="O186" s="91"/>
      <c r="P186" s="47"/>
    </row>
    <row r="187" spans="2:16" s="6" customFormat="1" ht="60" x14ac:dyDescent="0.25">
      <c r="B187" s="110" t="s">
        <v>605</v>
      </c>
      <c r="C187" s="216" t="s">
        <v>910</v>
      </c>
      <c r="D187" s="87">
        <f t="shared" si="31"/>
        <v>0</v>
      </c>
      <c r="E187" s="88"/>
      <c r="F187" s="92"/>
      <c r="G187" s="92"/>
      <c r="H187" s="90"/>
      <c r="I187" s="90"/>
      <c r="J187" s="90"/>
      <c r="K187" s="90"/>
      <c r="L187" s="90"/>
      <c r="M187" s="90"/>
      <c r="N187" s="75"/>
      <c r="O187" s="91"/>
      <c r="P187" s="47"/>
    </row>
    <row r="188" spans="2:16" s="6" customFormat="1" ht="60" x14ac:dyDescent="0.25">
      <c r="B188" s="110" t="s">
        <v>925</v>
      </c>
      <c r="C188" s="216" t="s">
        <v>1037</v>
      </c>
      <c r="D188" s="72">
        <f t="shared" ref="D188" si="32">E188</f>
        <v>0</v>
      </c>
      <c r="E188" s="135"/>
      <c r="F188" s="90"/>
      <c r="G188" s="90"/>
      <c r="H188" s="90"/>
      <c r="I188" s="90"/>
      <c r="J188" s="90"/>
      <c r="K188" s="90"/>
      <c r="L188" s="90"/>
      <c r="M188" s="90"/>
      <c r="N188" s="37" t="str">
        <f>IF((E188&lt;=E$140),"Выполнено","ПРОВЕРИТЬ (таких муниципальных районов не может быть больше общего числа муниципальных районов - участников бюджетных правоотношений в соответствующем году)")</f>
        <v>Выполнено</v>
      </c>
      <c r="O188" s="79" t="str">
        <f>IF(((D188=0)),"   ","Нужно заполнить пункт 27 текстовой части - о взаимной передаче полномочий между районами и поселениями по соглашениям поселениями")</f>
        <v xml:space="preserve">   </v>
      </c>
      <c r="P188" s="47"/>
    </row>
    <row r="189" spans="2:16" s="6" customFormat="1" ht="60" x14ac:dyDescent="0.25">
      <c r="B189" s="110" t="s">
        <v>35</v>
      </c>
      <c r="C189" s="216" t="s">
        <v>1038</v>
      </c>
      <c r="D189" s="87">
        <f t="shared" si="31"/>
        <v>0</v>
      </c>
      <c r="E189" s="88"/>
      <c r="F189" s="128"/>
      <c r="G189" s="129"/>
      <c r="H189" s="90"/>
      <c r="I189" s="90"/>
      <c r="J189" s="90"/>
      <c r="K189" s="90"/>
      <c r="L189" s="90"/>
      <c r="M189" s="90"/>
      <c r="N189" s="37" t="str">
        <f>IF((D189&lt;=D$140)*AND(F189&lt;=F$140)*AND(G189&lt;=G$140),"Выполнено","ПРОВЕРИТЬ (таких поселений не может быть больше общего числа поселений - участников бюджетных правоотношений в соответствующем году)")</f>
        <v>Выполнено</v>
      </c>
      <c r="O189" s="91"/>
      <c r="P189" s="47"/>
    </row>
    <row r="190" spans="2:16" s="6" customFormat="1" ht="60" x14ac:dyDescent="0.25">
      <c r="B190" s="110" t="s">
        <v>926</v>
      </c>
      <c r="C190" s="216" t="s">
        <v>1039</v>
      </c>
      <c r="D190" s="72">
        <f t="shared" ref="D190" si="33">E190</f>
        <v>0</v>
      </c>
      <c r="E190" s="135"/>
      <c r="F190" s="90"/>
      <c r="G190" s="90"/>
      <c r="H190" s="90"/>
      <c r="I190" s="90"/>
      <c r="J190" s="90"/>
      <c r="K190" s="90"/>
      <c r="L190" s="90"/>
      <c r="M190" s="90"/>
      <c r="N190" s="37" t="str">
        <f>IF((E190&lt;=E$140),"Выполнено","ПРОВЕРИТЬ (таких муниципальных районов не может быть больше общего числа муниципальных районов - участников бюджетных правоотношений в соответствующем году)")</f>
        <v>Выполнено</v>
      </c>
      <c r="O190" s="79" t="str">
        <f>IF(((D190=0)),"   ","Нужно заполнить пункт 27 текстовой части - о взаимной передаче полномочий между районами и поселениями по соглашениям поселениями")</f>
        <v xml:space="preserve">   </v>
      </c>
      <c r="P190" s="47"/>
    </row>
    <row r="191" spans="2:16" s="6" customFormat="1" ht="60" x14ac:dyDescent="0.25">
      <c r="B191" s="110" t="s">
        <v>334</v>
      </c>
      <c r="C191" s="216" t="s">
        <v>1040</v>
      </c>
      <c r="D191" s="87">
        <f t="shared" si="31"/>
        <v>0</v>
      </c>
      <c r="E191" s="88"/>
      <c r="F191" s="128"/>
      <c r="G191" s="129"/>
      <c r="H191" s="90"/>
      <c r="I191" s="90"/>
      <c r="J191" s="90"/>
      <c r="K191" s="90"/>
      <c r="L191" s="90"/>
      <c r="M191" s="90"/>
      <c r="N191" s="37" t="str">
        <f>IF((D191&lt;=D$140)*AND(F191&lt;=F$140)*AND(G191&lt;=G$140),"Выполнено","ПРОВЕРИТЬ (таких поселений не может быть больше общего числа поселений - участников бюджетных правоотношений в соответствующем году)")</f>
        <v>Выполнено</v>
      </c>
      <c r="O191" s="91"/>
      <c r="P191" s="47"/>
    </row>
    <row r="192" spans="2:16" s="6" customFormat="1" ht="30" x14ac:dyDescent="0.25">
      <c r="B192" s="110" t="s">
        <v>606</v>
      </c>
      <c r="C192" s="216" t="s">
        <v>927</v>
      </c>
      <c r="D192" s="87">
        <f t="shared" si="31"/>
        <v>0</v>
      </c>
      <c r="E192" s="88"/>
      <c r="F192" s="122"/>
      <c r="G192" s="130"/>
      <c r="H192" s="90"/>
      <c r="I192" s="90"/>
      <c r="J192" s="90"/>
      <c r="K192" s="90"/>
      <c r="L192" s="90"/>
      <c r="M192" s="90"/>
      <c r="N192" s="37" t="str">
        <f>IF((D192&lt;=D$191)*AND(F192&lt;=F$191)*AND(G192&lt;=G$191),"Выполнено","ПРОВЕРИТЬ (таких поселений не может быть больше чем поселений, отдавших районам часть полномочий, обозначенных в строке 10.9)")</f>
        <v>Выполнено</v>
      </c>
      <c r="O192" s="79" t="str">
        <f>IF(((D192=0)),"   ","Нужно заполнить пункт 28 текстовой части - о поселениях, передавших району основные бюджетные полномочия")</f>
        <v xml:space="preserve">   </v>
      </c>
      <c r="P192" s="47"/>
    </row>
    <row r="193" spans="2:16" s="6" customFormat="1" ht="30" x14ac:dyDescent="0.25">
      <c r="B193" s="110" t="s">
        <v>607</v>
      </c>
      <c r="C193" s="216" t="s">
        <v>930</v>
      </c>
      <c r="D193" s="87">
        <f t="shared" si="31"/>
        <v>0</v>
      </c>
      <c r="E193" s="88"/>
      <c r="F193" s="136"/>
      <c r="G193" s="136"/>
      <c r="H193" s="90"/>
      <c r="I193" s="90"/>
      <c r="J193" s="90"/>
      <c r="K193" s="90"/>
      <c r="L193" s="90"/>
      <c r="M193" s="90"/>
      <c r="N193" s="37" t="str">
        <f>IF((D193&lt;=D$191)*AND(F193&lt;=F$191)*AND(G193&lt;=G$191),"Выполнено","ПРОВЕРИТЬ (таких поселений не может быть больше чем поселений, отдавших районам часть полномочий, обозначенных в строке 10.9)")</f>
        <v>Выполнено</v>
      </c>
      <c r="O193" s="91"/>
      <c r="P193" s="47"/>
    </row>
    <row r="194" spans="2:16" s="6" customFormat="1" ht="30" x14ac:dyDescent="0.25">
      <c r="B194" s="110" t="s">
        <v>929</v>
      </c>
      <c r="C194" s="216" t="s">
        <v>928</v>
      </c>
      <c r="D194" s="87">
        <f t="shared" si="31"/>
        <v>0</v>
      </c>
      <c r="E194" s="88"/>
      <c r="F194" s="135"/>
      <c r="G194" s="135"/>
      <c r="H194" s="90"/>
      <c r="I194" s="90"/>
      <c r="J194" s="90"/>
      <c r="K194" s="90"/>
      <c r="L194" s="90"/>
      <c r="M194" s="90"/>
      <c r="N194" s="37" t="str">
        <f>IF((D194&lt;=D$191)*AND(F194&lt;=F$191)*AND(G194&lt;=G$191),"Выполнено","ПРОВЕРИТЬ (таких поселений не может быть больше чем поселений, отдавших районам часть полномочий, обозначенных в строке 10.9)")</f>
        <v>Выполнено</v>
      </c>
      <c r="O194" s="79" t="str">
        <f>IF(((D194=0)),"   ","Нужно заполнить пункт 28 текстовой части - о поселениях, передавших району все полномочия")</f>
        <v xml:space="preserve">   </v>
      </c>
      <c r="P194" s="47"/>
    </row>
    <row r="195" spans="2:16" s="6" customFormat="1" ht="60" x14ac:dyDescent="0.25">
      <c r="B195" s="108" t="s">
        <v>608</v>
      </c>
      <c r="C195" s="217" t="s">
        <v>1041</v>
      </c>
      <c r="D195" s="72">
        <f>SUM(E195:I195)+K195</f>
        <v>0</v>
      </c>
      <c r="E195" s="135"/>
      <c r="F195" s="165"/>
      <c r="G195" s="165"/>
      <c r="H195" s="165"/>
      <c r="I195" s="135"/>
      <c r="J195" s="135"/>
      <c r="K195" s="135"/>
      <c r="L195" s="157"/>
      <c r="M195" s="147"/>
      <c r="N195" s="28"/>
      <c r="O195" s="79" t="str">
        <f>IF(((D195=0)),"   ","Нужно заполнить пункт 29 текстовой части - о совершении нотариыльных действий органами местного самоуправления")</f>
        <v xml:space="preserve">   </v>
      </c>
      <c r="P195" s="78"/>
    </row>
    <row r="196" spans="2:16" s="6" customFormat="1" ht="45" x14ac:dyDescent="0.25">
      <c r="B196" s="108" t="s">
        <v>911</v>
      </c>
      <c r="C196" s="217" t="s">
        <v>1426</v>
      </c>
      <c r="D196" s="72">
        <f>SUM(E196:I196)+K196</f>
        <v>1</v>
      </c>
      <c r="E196" s="135"/>
      <c r="F196" s="165"/>
      <c r="G196" s="165">
        <v>1</v>
      </c>
      <c r="H196" s="165"/>
      <c r="I196" s="135"/>
      <c r="J196" s="135"/>
      <c r="K196" s="135"/>
      <c r="L196" s="157"/>
      <c r="M196" s="147"/>
      <c r="N196" s="75"/>
      <c r="O196" s="79" t="str">
        <f>IF(((D196=0)),"   ","Нужно заполнить пункт 29 текстовой части - о совершении нотариыльных действий органами местного самоуправления")</f>
        <v>Нужно заполнить пункт 29 текстовой части - о совершении нотариыльных действий органами местного самоуправления</v>
      </c>
      <c r="P196" s="78"/>
    </row>
    <row r="197" spans="2:16" s="6" customFormat="1" ht="105" x14ac:dyDescent="0.25">
      <c r="B197" s="119" t="s">
        <v>912</v>
      </c>
      <c r="C197" s="216" t="s">
        <v>1042</v>
      </c>
      <c r="D197" s="72">
        <f t="shared" ref="D197:D209" si="34">SUM(E197:I197)+SUM(K197:M197)</f>
        <v>0</v>
      </c>
      <c r="E197" s="134"/>
      <c r="F197" s="134"/>
      <c r="G197" s="134"/>
      <c r="H197" s="134"/>
      <c r="I197" s="134"/>
      <c r="J197" s="134"/>
      <c r="K197" s="134"/>
      <c r="L197" s="134"/>
      <c r="M197" s="134"/>
      <c r="N197" s="37" t="str">
        <f>IF((D197&lt;=D140)*AND(E197&lt;=E140)*AND(F197&lt;=F140)*AND(G197&lt;=G140)*AND(H197&lt;=H140)*AND(I197&lt;=I140)*AND(K197&lt;=K140)*AND(L197&lt;=L140)*AND(M197&lt;=M140)*AND(J197&lt;=J140),"Выполнено","ПРОВЕРИТЬ (такими участниками могли быть только муниципалитеты - субъекты бюджетных правоотношений в соответствующем финансовом году)
)")</f>
        <v>Выполнено</v>
      </c>
      <c r="O197" s="75"/>
      <c r="P197" s="47"/>
    </row>
    <row r="198" spans="2:16" s="6" customFormat="1" x14ac:dyDescent="0.25">
      <c r="B198" s="107" t="s">
        <v>914</v>
      </c>
      <c r="C198" s="216" t="s">
        <v>495</v>
      </c>
      <c r="D198" s="72">
        <f t="shared" si="34"/>
        <v>0</v>
      </c>
      <c r="E198" s="134"/>
      <c r="F198" s="134"/>
      <c r="G198" s="134"/>
      <c r="H198" s="134"/>
      <c r="I198" s="134"/>
      <c r="J198" s="134"/>
      <c r="K198" s="134"/>
      <c r="L198" s="134"/>
      <c r="M198" s="134"/>
      <c r="N198" s="37" t="str">
        <f>IF((D198&lt;=D197)*AND(E198&lt;=E197)*AND(F198&lt;=F197)*AND(G198&lt;=G197)*AND(H198&lt;=H197)*AND(I198&lt;=I197)*AND(K198&lt;=K197)*AND(L198&lt;=L197)*AND(M198&lt;=M197)*AND(J198&lt;=J197),"Выполнено","ПРОВЕРИТЬ (эта подстрока не может быть больше 10.11)
)")</f>
        <v>Выполнено</v>
      </c>
      <c r="O198" s="75"/>
      <c r="P198" s="47"/>
    </row>
    <row r="199" spans="2:16" s="6" customFormat="1" x14ac:dyDescent="0.25">
      <c r="B199" s="107" t="s">
        <v>915</v>
      </c>
      <c r="C199" s="216" t="s">
        <v>496</v>
      </c>
      <c r="D199" s="72">
        <f t="shared" si="34"/>
        <v>0</v>
      </c>
      <c r="E199" s="134"/>
      <c r="F199" s="134"/>
      <c r="G199" s="134"/>
      <c r="H199" s="134"/>
      <c r="I199" s="134"/>
      <c r="J199" s="134"/>
      <c r="K199" s="134"/>
      <c r="L199" s="134"/>
      <c r="M199" s="134"/>
      <c r="N199" s="37" t="str">
        <f>IF((D199&lt;=D197)*AND(E199&lt;=E197)*AND(F199&lt;=F197)*AND(G199&lt;=G197)*AND(H199&lt;=H197)*AND(I199&lt;=I197)*AND(K199&lt;=K197)*AND(L199&lt;=L197)*AND(M199&lt;=M197)*AND(J199&lt;=J197),"Выполнено","ПРОВЕРИТЬ (эта подстрока не может быть больше 10.11)
)")</f>
        <v>Выполнено</v>
      </c>
      <c r="O199" s="75"/>
      <c r="P199" s="47"/>
    </row>
    <row r="200" spans="2:16" s="21" customFormat="1" x14ac:dyDescent="0.25">
      <c r="B200" s="107" t="s">
        <v>916</v>
      </c>
      <c r="C200" s="216" t="s">
        <v>497</v>
      </c>
      <c r="D200" s="72">
        <f t="shared" si="34"/>
        <v>0</v>
      </c>
      <c r="E200" s="134"/>
      <c r="F200" s="134"/>
      <c r="G200" s="134"/>
      <c r="H200" s="134"/>
      <c r="I200" s="134"/>
      <c r="J200" s="134"/>
      <c r="K200" s="134"/>
      <c r="L200" s="134"/>
      <c r="M200" s="134"/>
      <c r="N200" s="37" t="str">
        <f>IF((D200&lt;=D197)*AND(E200&lt;=E197)*AND(F200&lt;=F197)*AND(G200&lt;=G197)*AND(H200&lt;=H197)*AND(I200&lt;=I197)*AND(K200&lt;=K197)*AND(L200&lt;=L197)*AND(M200&lt;=M197)*AND(J200&lt;=J197),"Выполнено","ПРОВЕРИТЬ (эта подстрока не может быть больше 10.11)
)")</f>
        <v>Выполнено</v>
      </c>
      <c r="O200" s="75"/>
      <c r="P200" s="46"/>
    </row>
    <row r="201" spans="2:16" s="21" customFormat="1" x14ac:dyDescent="0.25">
      <c r="B201" s="107" t="s">
        <v>917</v>
      </c>
      <c r="C201" s="216" t="s">
        <v>498</v>
      </c>
      <c r="D201" s="72">
        <f t="shared" si="34"/>
        <v>0</v>
      </c>
      <c r="E201" s="134"/>
      <c r="F201" s="134"/>
      <c r="G201" s="134"/>
      <c r="H201" s="134"/>
      <c r="I201" s="134"/>
      <c r="J201" s="134"/>
      <c r="K201" s="134"/>
      <c r="L201" s="134"/>
      <c r="M201" s="134"/>
      <c r="N201" s="37" t="str">
        <f>IF((D201&lt;=D197)*AND(E201&lt;=E197)*AND(F201&lt;=F197)*AND(G201&lt;=G197)*AND(H201&lt;=H197)*AND(I201&lt;=I197)*AND(K201&lt;=K197)*AND(L201&lt;=L197)*AND(M201&lt;=M197)*AND(J201&lt;=J197),"Выполнено","ПРОВЕРИТЬ (эта подстрока не может быть больше 10.11)
)")</f>
        <v>Выполнено</v>
      </c>
      <c r="O201" s="75"/>
      <c r="P201" s="42"/>
    </row>
    <row r="202" spans="2:16" s="21" customFormat="1" x14ac:dyDescent="0.25">
      <c r="B202" s="107" t="s">
        <v>918</v>
      </c>
      <c r="C202" s="216" t="s">
        <v>499</v>
      </c>
      <c r="D202" s="72">
        <f t="shared" si="34"/>
        <v>0</v>
      </c>
      <c r="E202" s="134"/>
      <c r="F202" s="134"/>
      <c r="G202" s="134"/>
      <c r="H202" s="134"/>
      <c r="I202" s="134"/>
      <c r="J202" s="134"/>
      <c r="K202" s="134"/>
      <c r="L202" s="134"/>
      <c r="M202" s="134"/>
      <c r="N202" s="37" t="str">
        <f>IF((D202&lt;=D197)*AND(E202&lt;=E197)*AND(F202&lt;=F197)*AND(G202&lt;=G197)*AND(H202&lt;=H197)*AND(I202&lt;=I197)*AND(K202&lt;=K197)*AND(L202&lt;=L197)*AND(M202&lt;=M197)*AND(J202&lt;=J197),"Выполнено","ПРОВЕРИТЬ (эта подстрока не может быть больше 10.11)
)")</f>
        <v>Выполнено</v>
      </c>
      <c r="O202" s="75"/>
      <c r="P202" s="42"/>
    </row>
    <row r="203" spans="2:16" s="21" customFormat="1" x14ac:dyDescent="0.25">
      <c r="B203" s="107" t="s">
        <v>919</v>
      </c>
      <c r="C203" s="216" t="s">
        <v>500</v>
      </c>
      <c r="D203" s="72">
        <f t="shared" si="34"/>
        <v>0</v>
      </c>
      <c r="E203" s="134"/>
      <c r="F203" s="134"/>
      <c r="G203" s="134"/>
      <c r="H203" s="134"/>
      <c r="I203" s="134"/>
      <c r="J203" s="134"/>
      <c r="K203" s="134"/>
      <c r="L203" s="134"/>
      <c r="M203" s="134"/>
      <c r="N203" s="37" t="str">
        <f>IF((D203&lt;=D197)*AND(E203&lt;=E197)*AND(F203&lt;=F197)*AND(G203&lt;=G197)*AND(H203&lt;=H197)*AND(I203&lt;=I197)*AND(K203&lt;=K197)*AND(L203&lt;=L197)*AND(M203&lt;=M197)*AND(J203&lt;=J197),"Выполнено","ПРОВЕРИТЬ (эта подстрока не может быть больше 10.11)
)")</f>
        <v>Выполнено</v>
      </c>
      <c r="O203" s="75"/>
      <c r="P203" s="42"/>
    </row>
    <row r="204" spans="2:16" s="21" customFormat="1" x14ac:dyDescent="0.25">
      <c r="B204" s="107" t="s">
        <v>920</v>
      </c>
      <c r="C204" s="216" t="s">
        <v>501</v>
      </c>
      <c r="D204" s="72">
        <f t="shared" si="34"/>
        <v>0</v>
      </c>
      <c r="E204" s="134"/>
      <c r="F204" s="134"/>
      <c r="G204" s="134"/>
      <c r="H204" s="134"/>
      <c r="I204" s="134"/>
      <c r="J204" s="134"/>
      <c r="K204" s="134"/>
      <c r="L204" s="134"/>
      <c r="M204" s="134"/>
      <c r="N204" s="37" t="str">
        <f>IF((D204&lt;=D197)*AND(E204&lt;=E197)*AND(F204&lt;=F197)*AND(G204&lt;=G197)*AND(H204&lt;=H197)*AND(I204&lt;=I197)*AND(K204&lt;=K197)*AND(L204&lt;=L197)*AND(M204&lt;=M197)*AND(J204&lt;=J197),"Выполнено","ПРОВЕРИТЬ (эта подстрока не может быть больше 10.11)
)")</f>
        <v>Выполнено</v>
      </c>
      <c r="O204" s="75"/>
      <c r="P204" s="42"/>
    </row>
    <row r="205" spans="2:16" s="21" customFormat="1" x14ac:dyDescent="0.25">
      <c r="B205" s="120" t="s">
        <v>921</v>
      </c>
      <c r="C205" s="216" t="s">
        <v>502</v>
      </c>
      <c r="D205" s="72">
        <f t="shared" si="34"/>
        <v>0</v>
      </c>
      <c r="E205" s="134"/>
      <c r="F205" s="134"/>
      <c r="G205" s="134"/>
      <c r="H205" s="134"/>
      <c r="I205" s="134"/>
      <c r="J205" s="134"/>
      <c r="K205" s="134"/>
      <c r="L205" s="134"/>
      <c r="M205" s="134"/>
      <c r="N205" s="37" t="str">
        <f>IF((D205&lt;=D197)*AND(E205&lt;=E197)*AND(F205&lt;=F197)*AND(G205&lt;=G197)*AND(H205&lt;=H197)*AND(I205&lt;=I197)*AND(K205&lt;=K197)*AND(L205&lt;=L197)*AND(M205&lt;=M197)*AND(J205&lt;=J197),"Выполнено","ПРОВЕРИТЬ (эта подстрока не может быть больше 10.11)
)")</f>
        <v>Выполнено</v>
      </c>
      <c r="O205" s="75"/>
      <c r="P205" s="42"/>
    </row>
    <row r="206" spans="2:16" s="21" customFormat="1" x14ac:dyDescent="0.25">
      <c r="B206" s="107" t="s">
        <v>922</v>
      </c>
      <c r="C206" s="216" t="s">
        <v>503</v>
      </c>
      <c r="D206" s="72">
        <f t="shared" si="34"/>
        <v>0</v>
      </c>
      <c r="E206" s="134"/>
      <c r="F206" s="134"/>
      <c r="G206" s="134"/>
      <c r="H206" s="134"/>
      <c r="I206" s="134"/>
      <c r="J206" s="134"/>
      <c r="K206" s="134"/>
      <c r="L206" s="134"/>
      <c r="M206" s="134"/>
      <c r="N206" s="37" t="str">
        <f>IF((D206&lt;=D197)*AND(E206&lt;=E197)*AND(F206&lt;=F197)*AND(G206&lt;=G197)*AND(H206&lt;=H197)*AND(I206&lt;=I197)*AND(K206&lt;=K197)*AND(L206&lt;=L197)*AND(M206&lt;=M197)*AND(J206&lt;=J197),"Выполнено","ПРОВЕРИТЬ (эта подстрока не может быть больше 10.11)
)")</f>
        <v>Выполнено</v>
      </c>
      <c r="O206" s="75"/>
      <c r="P206" s="45"/>
    </row>
    <row r="207" spans="2:16" s="21" customFormat="1" x14ac:dyDescent="0.25">
      <c r="B207" s="107" t="s">
        <v>923</v>
      </c>
      <c r="C207" s="216" t="s">
        <v>504</v>
      </c>
      <c r="D207" s="72">
        <f t="shared" si="34"/>
        <v>0</v>
      </c>
      <c r="E207" s="134"/>
      <c r="F207" s="134"/>
      <c r="G207" s="134"/>
      <c r="H207" s="134"/>
      <c r="I207" s="134"/>
      <c r="J207" s="134"/>
      <c r="K207" s="134"/>
      <c r="L207" s="134"/>
      <c r="M207" s="134"/>
      <c r="N207" s="37" t="str">
        <f>IF((D207&lt;=D197)*AND(E207&lt;=E197)*AND(F207&lt;=F197)*AND(G207&lt;=G197)*AND(H207&lt;=H197)*AND(I207&lt;=I197)*AND(K207&lt;=K197)*AND(L207&lt;=L197)*AND(M207&lt;=M197)*AND(J207&lt;=J197),"Выполнено","ПРОВЕРИТЬ (эта подстрока не может быть больше 10.11)
)")</f>
        <v>Выполнено</v>
      </c>
      <c r="O207" s="75"/>
      <c r="P207" s="42"/>
    </row>
    <row r="208" spans="2:16" s="21" customFormat="1" ht="45" x14ac:dyDescent="0.25">
      <c r="B208" s="107" t="s">
        <v>924</v>
      </c>
      <c r="C208" s="216" t="s">
        <v>505</v>
      </c>
      <c r="D208" s="72">
        <f t="shared" si="34"/>
        <v>0</v>
      </c>
      <c r="E208" s="134"/>
      <c r="F208" s="134"/>
      <c r="G208" s="134"/>
      <c r="H208" s="134"/>
      <c r="I208" s="134"/>
      <c r="J208" s="134"/>
      <c r="K208" s="134"/>
      <c r="L208" s="134"/>
      <c r="M208" s="134"/>
      <c r="N208" s="37" t="str">
        <f>IF((D208&lt;=D197)*AND(E208&lt;=E197)*AND(F208&lt;=F197)*AND(G208&lt;=G197)*AND(H208&lt;=H197)*AND(I208&lt;=I197)*AND(K208&lt;=K197)*AND(L208&lt;=L197)*AND(M208&lt;=M197)*AND(J208&lt;=J197),"Выполнено","ПРОВЕРИТЬ (эта подстрока не может быть больше 10.11)
)")</f>
        <v>Выполнено</v>
      </c>
      <c r="O208" s="75"/>
      <c r="P208" s="42"/>
    </row>
    <row r="209" spans="2:16" s="21" customFormat="1" x14ac:dyDescent="0.25">
      <c r="B209" s="107" t="s">
        <v>913</v>
      </c>
      <c r="C209" s="216" t="s">
        <v>506</v>
      </c>
      <c r="D209" s="72">
        <f t="shared" si="34"/>
        <v>0</v>
      </c>
      <c r="E209" s="134"/>
      <c r="F209" s="134"/>
      <c r="G209" s="134"/>
      <c r="H209" s="134"/>
      <c r="I209" s="134"/>
      <c r="J209" s="134"/>
      <c r="K209" s="134"/>
      <c r="L209" s="134"/>
      <c r="M209" s="134"/>
      <c r="N209" s="37" t="str">
        <f>IF((D209&lt;=D197)*AND(E209&lt;=E197)*AND(F209&lt;=F197)*AND(G209&lt;=G197)*AND(H209&lt;=H197)*AND(I209&lt;=I197)*AND(K209&lt;=K197)*AND(L209&lt;=L197)*AND(M209&lt;=M197)*AND(J209&lt;=J197),"Выполнено","ПРОВЕРИТЬ (эта подстрока не может быть больше 10.11)
)")</f>
        <v>Выполнено</v>
      </c>
      <c r="O209" s="75"/>
      <c r="P209" s="42"/>
    </row>
    <row r="210" spans="2:16" s="21" customFormat="1" ht="30" x14ac:dyDescent="0.25">
      <c r="B210" s="117" t="s">
        <v>609</v>
      </c>
      <c r="C210" s="215" t="s">
        <v>3</v>
      </c>
      <c r="D210" s="55"/>
      <c r="E210" s="56"/>
      <c r="F210" s="56"/>
      <c r="G210" s="56"/>
      <c r="H210" s="56"/>
      <c r="I210" s="56"/>
      <c r="J210" s="56"/>
      <c r="K210" s="56"/>
      <c r="L210" s="56"/>
      <c r="M210" s="56"/>
      <c r="N210" s="33"/>
      <c r="O210" s="74"/>
      <c r="P210" s="42"/>
    </row>
    <row r="211" spans="2:16" s="21" customFormat="1" ht="45" x14ac:dyDescent="0.25">
      <c r="B211" s="107" t="s">
        <v>610</v>
      </c>
      <c r="C211" s="216" t="s">
        <v>288</v>
      </c>
      <c r="D211" s="55"/>
      <c r="E211" s="56"/>
      <c r="F211" s="56"/>
      <c r="G211" s="56"/>
      <c r="H211" s="56"/>
      <c r="I211" s="56"/>
      <c r="J211" s="56"/>
      <c r="K211" s="56"/>
      <c r="L211" s="56"/>
      <c r="M211" s="56"/>
      <c r="N211" s="33"/>
      <c r="O211" s="74"/>
      <c r="P211" s="42"/>
    </row>
    <row r="212" spans="2:16" s="21" customFormat="1" ht="30" x14ac:dyDescent="0.25">
      <c r="B212" s="108" t="s">
        <v>611</v>
      </c>
      <c r="C212" s="217" t="s">
        <v>207</v>
      </c>
      <c r="D212" s="72">
        <f t="shared" ref="D212:D219" si="35">E212+K212</f>
        <v>0</v>
      </c>
      <c r="E212" s="133">
        <f>SUM(E213:E216)</f>
        <v>0</v>
      </c>
      <c r="F212" s="138"/>
      <c r="G212" s="139"/>
      <c r="H212" s="139"/>
      <c r="I212" s="151"/>
      <c r="J212" s="151"/>
      <c r="K212" s="133">
        <f>SUM(K213:K216)</f>
        <v>0</v>
      </c>
      <c r="L212" s="138"/>
      <c r="M212" s="139"/>
      <c r="N212" s="51" t="str">
        <f>IF((E212=E$10)*AND(K212=K$10),"Выполнено","ПРОВЕРИТЬ (во всех муниципальных районах и городских округах с делением должен быть определен порядок формирования представительного органа)")</f>
        <v>ПРОВЕРИТЬ (во всех муниципальных районах и городских округах с делением должен быть определен порядок формирования представительного органа)</v>
      </c>
      <c r="O212" s="79" t="str">
        <f>IF(((E212+K212=0)),"   ","Нужно заполнить пункт 30 текстовой части - о способах формирования представительных органов муниципальных районов и городских округах с делением")</f>
        <v xml:space="preserve">   </v>
      </c>
      <c r="P212" s="42"/>
    </row>
    <row r="213" spans="2:16" s="21" customFormat="1" ht="30" x14ac:dyDescent="0.25">
      <c r="B213" s="108" t="s">
        <v>612</v>
      </c>
      <c r="C213" s="217" t="s">
        <v>211</v>
      </c>
      <c r="D213" s="72">
        <f t="shared" si="35"/>
        <v>0</v>
      </c>
      <c r="E213" s="159"/>
      <c r="F213" s="150"/>
      <c r="G213" s="151"/>
      <c r="H213" s="151"/>
      <c r="I213" s="151"/>
      <c r="J213" s="151"/>
      <c r="K213" s="159"/>
      <c r="L213" s="150"/>
      <c r="M213" s="160"/>
      <c r="N213" s="28"/>
      <c r="O213" s="75"/>
      <c r="P213" s="44"/>
    </row>
    <row r="214" spans="2:16" s="21" customFormat="1" ht="30" x14ac:dyDescent="0.25">
      <c r="B214" s="108" t="s">
        <v>370</v>
      </c>
      <c r="C214" s="217" t="s">
        <v>212</v>
      </c>
      <c r="D214" s="72">
        <f t="shared" si="35"/>
        <v>0</v>
      </c>
      <c r="E214" s="159"/>
      <c r="F214" s="150"/>
      <c r="G214" s="151"/>
      <c r="H214" s="151"/>
      <c r="I214" s="151"/>
      <c r="J214" s="151"/>
      <c r="K214" s="159"/>
      <c r="L214" s="150"/>
      <c r="M214" s="160"/>
      <c r="N214" s="28"/>
      <c r="O214" s="75"/>
      <c r="P214" s="42"/>
    </row>
    <row r="215" spans="2:16" s="21" customFormat="1" ht="30" x14ac:dyDescent="0.25">
      <c r="B215" s="108" t="s">
        <v>613</v>
      </c>
      <c r="C215" s="217" t="s">
        <v>208</v>
      </c>
      <c r="D215" s="72">
        <f t="shared" si="35"/>
        <v>0</v>
      </c>
      <c r="E215" s="159"/>
      <c r="F215" s="150"/>
      <c r="G215" s="151"/>
      <c r="H215" s="151"/>
      <c r="I215" s="151"/>
      <c r="J215" s="151"/>
      <c r="K215" s="159"/>
      <c r="L215" s="150"/>
      <c r="M215" s="160"/>
      <c r="N215" s="28"/>
      <c r="O215" s="75"/>
      <c r="P215" s="42"/>
    </row>
    <row r="216" spans="2:16" s="21" customFormat="1" ht="45" x14ac:dyDescent="0.25">
      <c r="B216" s="108" t="s">
        <v>614</v>
      </c>
      <c r="C216" s="217" t="s">
        <v>389</v>
      </c>
      <c r="D216" s="72">
        <f t="shared" si="35"/>
        <v>0</v>
      </c>
      <c r="E216" s="159"/>
      <c r="F216" s="150"/>
      <c r="G216" s="160"/>
      <c r="H216" s="160"/>
      <c r="I216" s="151"/>
      <c r="J216" s="151"/>
      <c r="K216" s="159"/>
      <c r="L216" s="150"/>
      <c r="M216" s="160"/>
      <c r="N216" s="28"/>
      <c r="O216" s="75"/>
      <c r="P216" s="42"/>
    </row>
    <row r="217" spans="2:16" s="21" customFormat="1" ht="30" x14ac:dyDescent="0.25">
      <c r="B217" s="108" t="s">
        <v>615</v>
      </c>
      <c r="C217" s="217" t="s">
        <v>1004</v>
      </c>
      <c r="D217" s="72">
        <f t="shared" si="35"/>
        <v>0</v>
      </c>
      <c r="E217" s="133">
        <f>SUM(E218:E219)</f>
        <v>0</v>
      </c>
      <c r="F217" s="150"/>
      <c r="G217" s="151"/>
      <c r="H217" s="151"/>
      <c r="I217" s="151"/>
      <c r="J217" s="151"/>
      <c r="K217" s="133">
        <f>SUM(K218:K219)</f>
        <v>0</v>
      </c>
      <c r="L217" s="150"/>
      <c r="M217" s="151"/>
      <c r="N217" s="51" t="str">
        <f>IF((E217=E128)*AND(K217=K128),"Выполнено","ПРОВЕРИТЬ (во всех уставах муниципальных районов и городских округов с делением должен быть определен порядок формирования представительных органов)")</f>
        <v>ПРОВЕРИТЬ (во всех уставах муниципальных районов и городских округов с делением должен быть определен порядок формирования представительных органов)</v>
      </c>
      <c r="O217" s="84" t="str">
        <f>IF(((E217+K217=0)),"   ","Нужно заполнить пункт 30 текстовой части - о способах формирования представительных органов муниципальных районов и городских округах с делением")</f>
        <v xml:space="preserve">   </v>
      </c>
      <c r="P217" s="44"/>
    </row>
    <row r="218" spans="2:16" s="21" customFormat="1" x14ac:dyDescent="0.25">
      <c r="B218" s="108" t="s">
        <v>616</v>
      </c>
      <c r="C218" s="217" t="s">
        <v>73</v>
      </c>
      <c r="D218" s="72">
        <f t="shared" si="35"/>
        <v>0</v>
      </c>
      <c r="E218" s="135"/>
      <c r="F218" s="150"/>
      <c r="G218" s="151"/>
      <c r="H218" s="151"/>
      <c r="I218" s="151"/>
      <c r="J218" s="151"/>
      <c r="K218" s="135"/>
      <c r="L218" s="150"/>
      <c r="M218" s="151"/>
      <c r="N218" s="28"/>
      <c r="O218" s="75"/>
      <c r="P218" s="44"/>
    </row>
    <row r="219" spans="2:16" s="21" customFormat="1" x14ac:dyDescent="0.25">
      <c r="B219" s="108" t="s">
        <v>375</v>
      </c>
      <c r="C219" s="217" t="s">
        <v>74</v>
      </c>
      <c r="D219" s="72">
        <f t="shared" si="35"/>
        <v>0</v>
      </c>
      <c r="E219" s="135"/>
      <c r="F219" s="142"/>
      <c r="G219" s="143"/>
      <c r="H219" s="143"/>
      <c r="I219" s="151"/>
      <c r="J219" s="151"/>
      <c r="K219" s="135"/>
      <c r="L219" s="142"/>
      <c r="M219" s="143"/>
      <c r="N219" s="28"/>
      <c r="O219" s="75"/>
      <c r="P219" s="44"/>
    </row>
    <row r="220" spans="2:16" s="21" customFormat="1" ht="45" x14ac:dyDescent="0.25">
      <c r="B220" s="108" t="s">
        <v>295</v>
      </c>
      <c r="C220" s="217" t="s">
        <v>210</v>
      </c>
      <c r="D220" s="87">
        <f t="shared" ref="D220" si="36">F220+G220</f>
        <v>0</v>
      </c>
      <c r="E220" s="133"/>
      <c r="F220" s="135"/>
      <c r="G220" s="135"/>
      <c r="H220" s="146"/>
      <c r="I220" s="147"/>
      <c r="J220" s="154"/>
      <c r="K220" s="147"/>
      <c r="L220" s="147"/>
      <c r="M220" s="147"/>
      <c r="N220" s="51" t="str">
        <f>IF((F220&lt;=F$10)*AND(G220&lt;=G$10),"Выполнено","ПРОВЕРИТЬ (таких поселений не может быть больше чем всех поселений)")</f>
        <v>Выполнено</v>
      </c>
      <c r="O220" s="79" t="str">
        <f>IF(((D220=0)),"   ","Нужно заполнить пункт 31 текстовой части - о малочисленных поселениях без представительных органов")</f>
        <v xml:space="preserve">   </v>
      </c>
      <c r="P220" s="42"/>
    </row>
    <row r="221" spans="2:16" s="21" customFormat="1" ht="60" x14ac:dyDescent="0.25">
      <c r="B221" s="110" t="s">
        <v>461</v>
      </c>
      <c r="C221" s="216" t="s">
        <v>545</v>
      </c>
      <c r="D221" s="72">
        <f t="shared" ref="D221:D226" si="37">SUM(E221:I221)+SUM(K221:M221)</f>
        <v>12</v>
      </c>
      <c r="E221" s="133">
        <f>E10</f>
        <v>1</v>
      </c>
      <c r="F221" s="133">
        <f>F10-F220</f>
        <v>0</v>
      </c>
      <c r="G221" s="133">
        <f>G10-G220</f>
        <v>11</v>
      </c>
      <c r="H221" s="133">
        <f t="shared" ref="H221:M221" si="38">H10</f>
        <v>0</v>
      </c>
      <c r="I221" s="133">
        <f t="shared" si="38"/>
        <v>0</v>
      </c>
      <c r="J221" s="133">
        <f t="shared" si="38"/>
        <v>0</v>
      </c>
      <c r="K221" s="133">
        <f t="shared" si="38"/>
        <v>0</v>
      </c>
      <c r="L221" s="133">
        <f t="shared" si="38"/>
        <v>0</v>
      </c>
      <c r="M221" s="133">
        <f t="shared" si="38"/>
        <v>0</v>
      </c>
      <c r="N221" s="28"/>
      <c r="O221" s="75"/>
      <c r="P221" s="42"/>
    </row>
    <row r="222" spans="2:16" s="73" customFormat="1" ht="30" x14ac:dyDescent="0.25">
      <c r="B222" s="107" t="s">
        <v>617</v>
      </c>
      <c r="C222" s="216" t="s">
        <v>95</v>
      </c>
      <c r="D222" s="72">
        <f t="shared" si="37"/>
        <v>12</v>
      </c>
      <c r="E222" s="134">
        <v>1</v>
      </c>
      <c r="F222" s="134"/>
      <c r="G222" s="230">
        <v>11</v>
      </c>
      <c r="H222" s="134"/>
      <c r="I222" s="134"/>
      <c r="J222" s="134"/>
      <c r="K222" s="134"/>
      <c r="L222" s="134"/>
      <c r="M222" s="134"/>
      <c r="N222" s="75"/>
      <c r="O222" s="75"/>
      <c r="P222" s="42"/>
    </row>
    <row r="223" spans="2:16" s="73" customFormat="1" x14ac:dyDescent="0.25">
      <c r="B223" s="108" t="s">
        <v>618</v>
      </c>
      <c r="C223" s="217" t="s">
        <v>75</v>
      </c>
      <c r="D223" s="72">
        <f t="shared" si="37"/>
        <v>12</v>
      </c>
      <c r="E223" s="161">
        <f t="shared" ref="E223:M223" si="39">SUM(E224:E226)</f>
        <v>1</v>
      </c>
      <c r="F223" s="133">
        <f t="shared" si="39"/>
        <v>0</v>
      </c>
      <c r="G223" s="133">
        <f t="shared" si="39"/>
        <v>11</v>
      </c>
      <c r="H223" s="133">
        <f t="shared" si="39"/>
        <v>0</v>
      </c>
      <c r="I223" s="133">
        <f t="shared" si="39"/>
        <v>0</v>
      </c>
      <c r="J223" s="133">
        <f>SUM(J224:J226)</f>
        <v>0</v>
      </c>
      <c r="K223" s="161">
        <f t="shared" si="39"/>
        <v>0</v>
      </c>
      <c r="L223" s="133">
        <f t="shared" si="39"/>
        <v>0</v>
      </c>
      <c r="M223" s="133">
        <f t="shared" si="39"/>
        <v>0</v>
      </c>
      <c r="N223" s="37" t="str">
        <f>IF((F223=F222)*AND(G223=G222)*AND(H223=H222)*AND(I223=I222)*AND(L223=L222)*AND(M223=M222),"Выполнено","ПРОВЕРИТЬ (число избранных на муниципальных выборах представительных органов должно корректно раскладываться по видам избирательных систем)")</f>
        <v>Выполнено</v>
      </c>
      <c r="O223" s="79" t="str">
        <f>IF(((E223-E218=0))*AND(K223-K218=0),"   ","Нужно заполнить пункт 30 текстовой части - о фактически сформированных представительных органах муниципальных районов и городских округах с делением")</f>
        <v>Нужно заполнить пункт 30 текстовой части - о фактически сформированных представительных органах муниципальных районов и городских округах с делением</v>
      </c>
      <c r="P223" s="42"/>
    </row>
    <row r="224" spans="2:16" s="73" customFormat="1" ht="30" x14ac:dyDescent="0.25">
      <c r="B224" s="108" t="s">
        <v>619</v>
      </c>
      <c r="C224" s="217" t="s">
        <v>76</v>
      </c>
      <c r="D224" s="72">
        <f t="shared" si="37"/>
        <v>0</v>
      </c>
      <c r="E224" s="135"/>
      <c r="F224" s="135"/>
      <c r="G224" s="135"/>
      <c r="H224" s="135"/>
      <c r="I224" s="135"/>
      <c r="J224" s="135"/>
      <c r="K224" s="135"/>
      <c r="L224" s="135"/>
      <c r="M224" s="135"/>
      <c r="N224" s="28"/>
      <c r="O224" s="79" t="str">
        <f>IF(((D224=0)),"   ","Нужно заполнить пункт 32 текстовой части - о представительных органах, сформированных по пропорциональной системе")</f>
        <v xml:space="preserve">   </v>
      </c>
      <c r="P224" s="42"/>
    </row>
    <row r="225" spans="2:16" s="73" customFormat="1" ht="30" x14ac:dyDescent="0.25">
      <c r="B225" s="107" t="s">
        <v>620</v>
      </c>
      <c r="C225" s="216" t="s">
        <v>77</v>
      </c>
      <c r="D225" s="72">
        <f t="shared" si="37"/>
        <v>12</v>
      </c>
      <c r="E225" s="136">
        <v>1</v>
      </c>
      <c r="F225" s="136"/>
      <c r="G225" s="164">
        <v>11</v>
      </c>
      <c r="H225" s="136"/>
      <c r="I225" s="136"/>
      <c r="J225" s="134"/>
      <c r="K225" s="136"/>
      <c r="L225" s="136"/>
      <c r="M225" s="136"/>
      <c r="N225" s="28"/>
      <c r="O225" s="75"/>
      <c r="P225" s="42"/>
    </row>
    <row r="226" spans="2:16" s="73" customFormat="1" ht="30" x14ac:dyDescent="0.25">
      <c r="B226" s="108" t="s">
        <v>621</v>
      </c>
      <c r="C226" s="217" t="s">
        <v>78</v>
      </c>
      <c r="D226" s="72">
        <f t="shared" si="37"/>
        <v>0</v>
      </c>
      <c r="E226" s="135"/>
      <c r="F226" s="135"/>
      <c r="G226" s="135"/>
      <c r="H226" s="135"/>
      <c r="I226" s="135"/>
      <c r="J226" s="135"/>
      <c r="K226" s="135"/>
      <c r="L226" s="135"/>
      <c r="M226" s="135"/>
      <c r="N226" s="28"/>
      <c r="O226" s="79" t="str">
        <f>IF(((D226=0)),"   ","Нужно заполнить пункт 32 текстовой части - о представительных органах, сформированных по смешанной системе")</f>
        <v xml:space="preserve">   </v>
      </c>
      <c r="P226" s="42"/>
    </row>
    <row r="227" spans="2:16" s="73" customFormat="1" x14ac:dyDescent="0.25">
      <c r="B227" s="108" t="s">
        <v>622</v>
      </c>
      <c r="C227" s="217" t="s">
        <v>534</v>
      </c>
      <c r="D227" s="72">
        <f t="shared" ref="D227:D229" si="40">E227+K227</f>
        <v>0</v>
      </c>
      <c r="E227" s="161">
        <f>SUM(E228:E229)</f>
        <v>0</v>
      </c>
      <c r="F227" s="150"/>
      <c r="G227" s="151"/>
      <c r="H227" s="150"/>
      <c r="I227" s="151"/>
      <c r="J227" s="151"/>
      <c r="K227" s="161">
        <f>SUM(K228:K229)</f>
        <v>0</v>
      </c>
      <c r="L227" s="150"/>
      <c r="M227" s="151"/>
      <c r="N227" s="37" t="str">
        <f>IF((E222=E223+E227)*AND(K222=K223+K227),"Выполнено","ПРОВЕРИТЬ (число фактически сформированных представительных органов муниципальных районов и городских округов с делением должно корректно раскладываться по способам их формирования)")</f>
        <v>Выполнено</v>
      </c>
      <c r="O227" s="79" t="str">
        <f>IF(((E227-E219=0))*AND(K227-K219=0),"   ","Нужно заполнить пункт 30 текстовой части - о фактически сформированных представительных органах муниципальных районов и городских округах с делением")</f>
        <v xml:space="preserve">   </v>
      </c>
      <c r="P227" s="42"/>
    </row>
    <row r="228" spans="2:16" s="73" customFormat="1" x14ac:dyDescent="0.25">
      <c r="B228" s="107" t="s">
        <v>623</v>
      </c>
      <c r="C228" s="216" t="s">
        <v>535</v>
      </c>
      <c r="D228" s="72">
        <f t="shared" si="40"/>
        <v>0</v>
      </c>
      <c r="E228" s="134"/>
      <c r="F228" s="150"/>
      <c r="G228" s="151"/>
      <c r="H228" s="150"/>
      <c r="I228" s="151"/>
      <c r="J228" s="151"/>
      <c r="K228" s="134"/>
      <c r="L228" s="150"/>
      <c r="M228" s="151"/>
      <c r="N228" s="75"/>
      <c r="O228" s="75"/>
      <c r="P228" s="42"/>
    </row>
    <row r="229" spans="2:16" s="73" customFormat="1" ht="30" x14ac:dyDescent="0.25">
      <c r="B229" s="107" t="s">
        <v>624</v>
      </c>
      <c r="C229" s="216" t="s">
        <v>536</v>
      </c>
      <c r="D229" s="72">
        <f t="shared" si="40"/>
        <v>0</v>
      </c>
      <c r="E229" s="134"/>
      <c r="F229" s="142"/>
      <c r="G229" s="143"/>
      <c r="H229" s="151"/>
      <c r="I229" s="151"/>
      <c r="J229" s="143"/>
      <c r="K229" s="134"/>
      <c r="L229" s="142"/>
      <c r="M229" s="143"/>
      <c r="N229" s="75"/>
      <c r="O229" s="75"/>
      <c r="P229" s="42"/>
    </row>
    <row r="230" spans="2:16" s="73" customFormat="1" ht="45" x14ac:dyDescent="0.25">
      <c r="B230" s="107" t="s">
        <v>625</v>
      </c>
      <c r="C230" s="216" t="s">
        <v>537</v>
      </c>
      <c r="D230" s="72">
        <f t="shared" ref="D230:D231" si="41">SUM(E230:I230)+SUM(K230:M230)</f>
        <v>0</v>
      </c>
      <c r="E230" s="133">
        <f t="shared" ref="E230:M230" si="42">E231+E233</f>
        <v>0</v>
      </c>
      <c r="F230" s="133">
        <f t="shared" si="42"/>
        <v>0</v>
      </c>
      <c r="G230" s="133">
        <f t="shared" si="42"/>
        <v>0</v>
      </c>
      <c r="H230" s="133">
        <f t="shared" si="42"/>
        <v>0</v>
      </c>
      <c r="I230" s="133">
        <f t="shared" si="42"/>
        <v>0</v>
      </c>
      <c r="J230" s="133">
        <f t="shared" si="42"/>
        <v>0</v>
      </c>
      <c r="K230" s="133">
        <f t="shared" si="42"/>
        <v>0</v>
      </c>
      <c r="L230" s="133">
        <f t="shared" si="42"/>
        <v>0</v>
      </c>
      <c r="M230" s="133">
        <f t="shared" si="42"/>
        <v>0</v>
      </c>
      <c r="N230" s="37" t="str">
        <f>IF((D230=D223)*AND(E230=E223)*AND(F230=F223)*AND(G230=G223)*AND(H230=H223)*AND(I230=I223)*AND(K230=K223)*AND(L230=L223)*AND(M230=M223)*AND(J230=J223),"Выполнено","ПРОВЕРИТЬ - по количеству действующих представительных органов)")</f>
        <v>ПРОВЕРИТЬ - по количеству действующих представительных органов)</v>
      </c>
      <c r="O230" s="76"/>
      <c r="P230" s="42"/>
    </row>
    <row r="231" spans="2:16" s="73" customFormat="1" x14ac:dyDescent="0.25">
      <c r="B231" s="107" t="s">
        <v>372</v>
      </c>
      <c r="C231" s="216" t="s">
        <v>1387</v>
      </c>
      <c r="D231" s="72">
        <f t="shared" si="41"/>
        <v>0</v>
      </c>
      <c r="E231" s="134"/>
      <c r="F231" s="134"/>
      <c r="G231" s="134"/>
      <c r="H231" s="134"/>
      <c r="I231" s="134"/>
      <c r="J231" s="134"/>
      <c r="K231" s="134"/>
      <c r="L231" s="134"/>
      <c r="M231" s="134"/>
      <c r="N231" s="75"/>
      <c r="O231" s="75"/>
      <c r="P231" s="42"/>
    </row>
    <row r="232" spans="2:16" s="73" customFormat="1" x14ac:dyDescent="0.25">
      <c r="B232" s="107" t="s">
        <v>1307</v>
      </c>
      <c r="C232" s="216" t="s">
        <v>1388</v>
      </c>
      <c r="D232" s="72">
        <f>SUM(E232:I232)+SUM(K232:M232)</f>
        <v>1</v>
      </c>
      <c r="E232" s="134"/>
      <c r="F232" s="134"/>
      <c r="G232" s="134">
        <v>1</v>
      </c>
      <c r="H232" s="134"/>
      <c r="I232" s="134"/>
      <c r="J232" s="134"/>
      <c r="K232" s="134"/>
      <c r="L232" s="134"/>
      <c r="M232" s="134"/>
      <c r="N232" s="75"/>
      <c r="O232" s="75"/>
      <c r="P232" s="42"/>
    </row>
    <row r="233" spans="2:16" s="73" customFormat="1" x14ac:dyDescent="0.25">
      <c r="B233" s="107" t="s">
        <v>1389</v>
      </c>
      <c r="C233" s="216" t="s">
        <v>1150</v>
      </c>
      <c r="D233" s="72">
        <f>SUM(E233:I233)+SUM(K233:M233)</f>
        <v>0</v>
      </c>
      <c r="E233" s="134"/>
      <c r="F233" s="134"/>
      <c r="G233" s="134"/>
      <c r="H233" s="134"/>
      <c r="I233" s="134"/>
      <c r="J233" s="134"/>
      <c r="K233" s="134"/>
      <c r="L233" s="134"/>
      <c r="M233" s="134"/>
      <c r="N233" s="75"/>
      <c r="O233" s="75"/>
      <c r="P233" s="42"/>
    </row>
    <row r="234" spans="2:16" s="73" customFormat="1" ht="30" x14ac:dyDescent="0.25">
      <c r="B234" s="107" t="s">
        <v>626</v>
      </c>
      <c r="C234" s="216" t="s">
        <v>547</v>
      </c>
      <c r="D234" s="72">
        <f t="shared" ref="D234:D237" si="43">E234+K234</f>
        <v>0</v>
      </c>
      <c r="E234" s="145">
        <f>E235+E236+E237</f>
        <v>0</v>
      </c>
      <c r="F234" s="184"/>
      <c r="G234" s="152"/>
      <c r="H234" s="184"/>
      <c r="I234" s="151"/>
      <c r="J234" s="151"/>
      <c r="K234" s="145">
        <f t="shared" ref="K234" si="44">K235+K236+K237</f>
        <v>0</v>
      </c>
      <c r="L234" s="184"/>
      <c r="M234" s="152"/>
      <c r="N234" s="37" t="str">
        <f>IF((D234=D227)*AND(E234=E227)*AND(K234=K227)*AND(K234=K227),"Выполнено","ПРОВЕРИТЬ - по количеству действующих представительных органов)")</f>
        <v>Выполнено</v>
      </c>
      <c r="O234" s="76"/>
      <c r="P234" s="42"/>
    </row>
    <row r="235" spans="2:16" s="73" customFormat="1" x14ac:dyDescent="0.25">
      <c r="B235" s="107" t="s">
        <v>627</v>
      </c>
      <c r="C235" s="216" t="s">
        <v>1387</v>
      </c>
      <c r="D235" s="72">
        <f t="shared" si="43"/>
        <v>0</v>
      </c>
      <c r="E235" s="134"/>
      <c r="F235" s="150"/>
      <c r="G235" s="151"/>
      <c r="H235" s="150"/>
      <c r="I235" s="151"/>
      <c r="J235" s="151"/>
      <c r="K235" s="134"/>
      <c r="L235" s="150"/>
      <c r="M235" s="151"/>
      <c r="N235" s="75"/>
      <c r="O235" s="75"/>
      <c r="P235" s="42"/>
    </row>
    <row r="236" spans="2:16" s="73" customFormat="1" x14ac:dyDescent="0.25">
      <c r="B236" s="107" t="s">
        <v>628</v>
      </c>
      <c r="C236" s="216" t="s">
        <v>1388</v>
      </c>
      <c r="D236" s="72">
        <f t="shared" si="43"/>
        <v>0</v>
      </c>
      <c r="E236" s="134"/>
      <c r="F236" s="150"/>
      <c r="G236" s="151"/>
      <c r="H236" s="150"/>
      <c r="I236" s="151"/>
      <c r="J236" s="151"/>
      <c r="K236" s="134"/>
      <c r="L236" s="150"/>
      <c r="M236" s="151"/>
      <c r="N236" s="75"/>
      <c r="O236" s="75"/>
      <c r="P236" s="42"/>
    </row>
    <row r="237" spans="2:16" s="21" customFormat="1" x14ac:dyDescent="0.25">
      <c r="B237" s="107" t="s">
        <v>629</v>
      </c>
      <c r="C237" s="216" t="s">
        <v>1150</v>
      </c>
      <c r="D237" s="72">
        <f t="shared" si="43"/>
        <v>0</v>
      </c>
      <c r="E237" s="134"/>
      <c r="F237" s="142"/>
      <c r="G237" s="143"/>
      <c r="H237" s="142"/>
      <c r="I237" s="143"/>
      <c r="J237" s="143"/>
      <c r="K237" s="134"/>
      <c r="L237" s="142"/>
      <c r="M237" s="143"/>
      <c r="N237" s="75"/>
      <c r="O237" s="75"/>
      <c r="P237" s="44"/>
    </row>
    <row r="238" spans="2:16" s="21" customFormat="1" ht="45" x14ac:dyDescent="0.25">
      <c r="B238" s="107" t="s">
        <v>630</v>
      </c>
      <c r="C238" s="216" t="s">
        <v>1444</v>
      </c>
      <c r="D238" s="72">
        <f t="shared" ref="D238:D261" si="45">SUM(E238:I238)+SUM(K238:M238)</f>
        <v>1</v>
      </c>
      <c r="E238" s="133">
        <f>SUM(E240:E244)</f>
        <v>0</v>
      </c>
      <c r="F238" s="133">
        <f t="shared" ref="F238:M238" si="46">SUM(F239:F244)</f>
        <v>0</v>
      </c>
      <c r="G238" s="133">
        <f t="shared" si="46"/>
        <v>1</v>
      </c>
      <c r="H238" s="133">
        <f t="shared" si="46"/>
        <v>0</v>
      </c>
      <c r="I238" s="133">
        <f t="shared" si="46"/>
        <v>0</v>
      </c>
      <c r="J238" s="133">
        <f t="shared" si="46"/>
        <v>0</v>
      </c>
      <c r="K238" s="133">
        <f t="shared" si="46"/>
        <v>0</v>
      </c>
      <c r="L238" s="133">
        <f t="shared" si="46"/>
        <v>0</v>
      </c>
      <c r="M238" s="133">
        <f t="shared" si="46"/>
        <v>0</v>
      </c>
      <c r="N238" s="37" t="str">
        <f>IF((D238=D222)*AND(E238=E222)*AND(F238=F222)*AND(G238=G222)*AND(H238=H222)*AND(I238=I222)*AND(K238=K222)*AND(L238=L222)*AND(M238=M222)*AND(J238=J222),"Выполнено","ПРОВЕРИТЬ (в сумме должно получиться число действующих представительных органов)")</f>
        <v>ПРОВЕРИТЬ (в сумме должно получиться число действующих представительных органов)</v>
      </c>
      <c r="O238" s="75"/>
      <c r="P238" s="77"/>
    </row>
    <row r="239" spans="2:16" s="21" customFormat="1" x14ac:dyDescent="0.25">
      <c r="B239" s="107" t="s">
        <v>541</v>
      </c>
      <c r="C239" s="216" t="s">
        <v>571</v>
      </c>
      <c r="D239" s="72">
        <f>SUM(F239:I239)+SUM(K239:L239)</f>
        <v>0</v>
      </c>
      <c r="E239" s="153"/>
      <c r="F239" s="136"/>
      <c r="G239" s="136"/>
      <c r="H239" s="136"/>
      <c r="I239" s="136"/>
      <c r="J239" s="134"/>
      <c r="K239" s="136"/>
      <c r="L239" s="136"/>
      <c r="M239" s="153"/>
      <c r="N239" s="28"/>
      <c r="O239" s="75"/>
      <c r="P239" s="42"/>
    </row>
    <row r="240" spans="2:16" s="21" customFormat="1" x14ac:dyDescent="0.25">
      <c r="B240" s="107" t="s">
        <v>542</v>
      </c>
      <c r="C240" s="216" t="s">
        <v>463</v>
      </c>
      <c r="D240" s="72">
        <f t="shared" si="45"/>
        <v>0</v>
      </c>
      <c r="E240" s="136"/>
      <c r="F240" s="136"/>
      <c r="G240" s="136"/>
      <c r="H240" s="136"/>
      <c r="I240" s="136"/>
      <c r="J240" s="134"/>
      <c r="K240" s="136"/>
      <c r="L240" s="136"/>
      <c r="M240" s="136"/>
      <c r="N240" s="28"/>
      <c r="O240" s="75"/>
      <c r="P240" s="45"/>
    </row>
    <row r="241" spans="2:16" s="21" customFormat="1" x14ac:dyDescent="0.25">
      <c r="B241" s="107" t="s">
        <v>631</v>
      </c>
      <c r="C241" s="216" t="s">
        <v>932</v>
      </c>
      <c r="D241" s="72">
        <f t="shared" si="45"/>
        <v>1</v>
      </c>
      <c r="E241" s="136"/>
      <c r="F241" s="136"/>
      <c r="G241" s="136">
        <v>1</v>
      </c>
      <c r="H241" s="136"/>
      <c r="I241" s="136"/>
      <c r="J241" s="134"/>
      <c r="K241" s="136"/>
      <c r="L241" s="136"/>
      <c r="M241" s="136"/>
      <c r="N241" s="28"/>
      <c r="O241" s="75"/>
      <c r="P241" s="42"/>
    </row>
    <row r="242" spans="2:16" s="73" customFormat="1" x14ac:dyDescent="0.25">
      <c r="B242" s="107" t="s">
        <v>543</v>
      </c>
      <c r="C242" s="216" t="s">
        <v>933</v>
      </c>
      <c r="D242" s="72">
        <f t="shared" si="45"/>
        <v>0</v>
      </c>
      <c r="E242" s="136"/>
      <c r="F242" s="136"/>
      <c r="G242" s="136"/>
      <c r="H242" s="136"/>
      <c r="I242" s="136"/>
      <c r="J242" s="134"/>
      <c r="K242" s="136"/>
      <c r="L242" s="136"/>
      <c r="M242" s="136"/>
      <c r="N242" s="28"/>
      <c r="O242" s="75"/>
      <c r="P242" s="42"/>
    </row>
    <row r="243" spans="2:16" s="73" customFormat="1" x14ac:dyDescent="0.25">
      <c r="B243" s="107" t="s">
        <v>544</v>
      </c>
      <c r="C243" s="216" t="s">
        <v>934</v>
      </c>
      <c r="D243" s="72">
        <f t="shared" si="45"/>
        <v>0</v>
      </c>
      <c r="E243" s="136"/>
      <c r="F243" s="136"/>
      <c r="G243" s="136"/>
      <c r="H243" s="136"/>
      <c r="I243" s="136"/>
      <c r="J243" s="134"/>
      <c r="K243" s="136"/>
      <c r="L243" s="136"/>
      <c r="M243" s="136"/>
      <c r="N243" s="28"/>
      <c r="O243" s="75"/>
      <c r="P243" s="42"/>
    </row>
    <row r="244" spans="2:16" s="73" customFormat="1" x14ac:dyDescent="0.25">
      <c r="B244" s="108" t="s">
        <v>935</v>
      </c>
      <c r="C244" s="217" t="s">
        <v>936</v>
      </c>
      <c r="D244" s="72">
        <f t="shared" si="45"/>
        <v>0</v>
      </c>
      <c r="E244" s="135"/>
      <c r="F244" s="135"/>
      <c r="G244" s="135"/>
      <c r="H244" s="135"/>
      <c r="I244" s="135"/>
      <c r="J244" s="135"/>
      <c r="K244" s="135"/>
      <c r="L244" s="135"/>
      <c r="M244" s="135"/>
      <c r="N244" s="28"/>
      <c r="O244" s="79" t="str">
        <f>IF(((D244=0)),"   ","Нужно заполнить пункт 33 текстовой части - о представительных органах с 51 и более депутатов")</f>
        <v xml:space="preserve">   </v>
      </c>
      <c r="P244" s="42"/>
    </row>
    <row r="245" spans="2:16" s="73" customFormat="1" ht="30" x14ac:dyDescent="0.25">
      <c r="B245" s="107" t="s">
        <v>940</v>
      </c>
      <c r="C245" s="216" t="s">
        <v>1445</v>
      </c>
      <c r="D245" s="72">
        <f t="shared" si="45"/>
        <v>1</v>
      </c>
      <c r="E245" s="133">
        <f t="shared" ref="E245:M245" si="47">SUM(E246:E251)</f>
        <v>0</v>
      </c>
      <c r="F245" s="133">
        <f t="shared" si="47"/>
        <v>0</v>
      </c>
      <c r="G245" s="133">
        <f t="shared" si="47"/>
        <v>1</v>
      </c>
      <c r="H245" s="133">
        <f t="shared" si="47"/>
        <v>0</v>
      </c>
      <c r="I245" s="133">
        <f t="shared" si="47"/>
        <v>0</v>
      </c>
      <c r="J245" s="133">
        <f t="shared" si="47"/>
        <v>0</v>
      </c>
      <c r="K245" s="133">
        <f t="shared" si="47"/>
        <v>0</v>
      </c>
      <c r="L245" s="133">
        <f t="shared" si="47"/>
        <v>0</v>
      </c>
      <c r="M245" s="133">
        <f t="shared" si="47"/>
        <v>0</v>
      </c>
      <c r="N245" s="37" t="str">
        <f>IF((D245=D222)*AND(E245=E222)*AND(F245=F222)*AND(G245=G222)*AND(H245=H222)*AND(I245=I222)*AND(K245=K222)*AND(L245=L222)*AND(M245=M222)*AND(J245=J222),"Выполнено","ПРОВЕРИТЬ (в сумме должно получиться общее число действующих представительных органов)")</f>
        <v>ПРОВЕРИТЬ (в сумме должно получиться общее число действующих представительных органов)</v>
      </c>
      <c r="O245" s="75"/>
      <c r="P245" s="77"/>
    </row>
    <row r="246" spans="2:16" s="73" customFormat="1" x14ac:dyDescent="0.25">
      <c r="B246" s="107" t="s">
        <v>941</v>
      </c>
      <c r="C246" s="216" t="s">
        <v>938</v>
      </c>
      <c r="D246" s="72">
        <f t="shared" si="45"/>
        <v>0</v>
      </c>
      <c r="E246" s="136"/>
      <c r="F246" s="136"/>
      <c r="G246" s="136"/>
      <c r="H246" s="136"/>
      <c r="I246" s="136"/>
      <c r="J246" s="134"/>
      <c r="K246" s="136"/>
      <c r="L246" s="136"/>
      <c r="M246" s="136"/>
      <c r="N246" s="75"/>
      <c r="O246" s="75"/>
      <c r="P246" s="42"/>
    </row>
    <row r="247" spans="2:16" s="73" customFormat="1" x14ac:dyDescent="0.25">
      <c r="B247" s="107" t="s">
        <v>942</v>
      </c>
      <c r="C247" s="216" t="s">
        <v>463</v>
      </c>
      <c r="D247" s="72">
        <f t="shared" si="45"/>
        <v>0</v>
      </c>
      <c r="E247" s="136"/>
      <c r="F247" s="136"/>
      <c r="G247" s="136"/>
      <c r="H247" s="136"/>
      <c r="I247" s="136"/>
      <c r="J247" s="134"/>
      <c r="K247" s="136"/>
      <c r="L247" s="136"/>
      <c r="M247" s="136"/>
      <c r="N247" s="75"/>
      <c r="O247" s="75"/>
      <c r="P247" s="42"/>
    </row>
    <row r="248" spans="2:16" s="73" customFormat="1" x14ac:dyDescent="0.25">
      <c r="B248" s="107" t="s">
        <v>943</v>
      </c>
      <c r="C248" s="216" t="s">
        <v>932</v>
      </c>
      <c r="D248" s="72">
        <f t="shared" si="45"/>
        <v>1</v>
      </c>
      <c r="E248" s="136"/>
      <c r="F248" s="136"/>
      <c r="G248" s="136">
        <v>1</v>
      </c>
      <c r="H248" s="136"/>
      <c r="I248" s="136"/>
      <c r="J248" s="134"/>
      <c r="K248" s="136"/>
      <c r="L248" s="136"/>
      <c r="M248" s="136"/>
      <c r="N248" s="75"/>
      <c r="O248" s="75"/>
      <c r="P248" s="42"/>
    </row>
    <row r="249" spans="2:16" s="73" customFormat="1" x14ac:dyDescent="0.25">
      <c r="B249" s="107" t="s">
        <v>944</v>
      </c>
      <c r="C249" s="216" t="s">
        <v>933</v>
      </c>
      <c r="D249" s="72">
        <f t="shared" si="45"/>
        <v>0</v>
      </c>
      <c r="E249" s="136"/>
      <c r="F249" s="136"/>
      <c r="G249" s="136"/>
      <c r="H249" s="136"/>
      <c r="I249" s="136"/>
      <c r="J249" s="134"/>
      <c r="K249" s="136"/>
      <c r="L249" s="136"/>
      <c r="M249" s="136"/>
      <c r="N249" s="75"/>
      <c r="O249" s="75"/>
      <c r="P249" s="42"/>
    </row>
    <row r="250" spans="2:16" s="21" customFormat="1" x14ac:dyDescent="0.25">
      <c r="B250" s="107" t="s">
        <v>945</v>
      </c>
      <c r="C250" s="216" t="s">
        <v>934</v>
      </c>
      <c r="D250" s="72">
        <f t="shared" si="45"/>
        <v>0</v>
      </c>
      <c r="E250" s="136"/>
      <c r="F250" s="136"/>
      <c r="G250" s="136"/>
      <c r="H250" s="136"/>
      <c r="I250" s="136"/>
      <c r="J250" s="134"/>
      <c r="K250" s="136"/>
      <c r="L250" s="136"/>
      <c r="M250" s="136"/>
      <c r="N250" s="75"/>
      <c r="O250" s="75"/>
      <c r="P250" s="45"/>
    </row>
    <row r="251" spans="2:16" s="73" customFormat="1" x14ac:dyDescent="0.25">
      <c r="B251" s="108" t="s">
        <v>937</v>
      </c>
      <c r="C251" s="217" t="s">
        <v>939</v>
      </c>
      <c r="D251" s="72">
        <f t="shared" si="45"/>
        <v>0</v>
      </c>
      <c r="E251" s="135"/>
      <c r="F251" s="135"/>
      <c r="G251" s="135"/>
      <c r="H251" s="135"/>
      <c r="I251" s="135"/>
      <c r="J251" s="135"/>
      <c r="K251" s="135"/>
      <c r="L251" s="135"/>
      <c r="M251" s="135"/>
      <c r="N251" s="75"/>
      <c r="O251" s="79" t="str">
        <f>IF(((D251=0)),"   ","Нужно заполнить пункт 33 текстовой части - о представительных органах с 51 и более депутатов")</f>
        <v xml:space="preserve">   </v>
      </c>
      <c r="P251" s="45"/>
    </row>
    <row r="252" spans="2:16" s="21" customFormat="1" ht="45" x14ac:dyDescent="0.25">
      <c r="B252" s="107" t="s">
        <v>946</v>
      </c>
      <c r="C252" s="216" t="s">
        <v>194</v>
      </c>
      <c r="D252" s="72">
        <f t="shared" si="45"/>
        <v>0</v>
      </c>
      <c r="E252" s="133">
        <f t="shared" ref="E252" si="48">SUM(E253:E255)</f>
        <v>0</v>
      </c>
      <c r="F252" s="133">
        <f t="shared" ref="F252:M252" si="49">SUM(F253:F255)</f>
        <v>0</v>
      </c>
      <c r="G252" s="133">
        <f t="shared" si="49"/>
        <v>0</v>
      </c>
      <c r="H252" s="133">
        <f t="shared" si="49"/>
        <v>0</v>
      </c>
      <c r="I252" s="133">
        <f t="shared" si="49"/>
        <v>0</v>
      </c>
      <c r="J252" s="133">
        <f t="shared" si="49"/>
        <v>0</v>
      </c>
      <c r="K252" s="133">
        <f t="shared" si="49"/>
        <v>0</v>
      </c>
      <c r="L252" s="133">
        <f t="shared" si="49"/>
        <v>0</v>
      </c>
      <c r="M252" s="133">
        <f t="shared" si="49"/>
        <v>0</v>
      </c>
      <c r="N252" s="37" t="str">
        <f>IF((D252=D222)*AND(E252=E222)*AND(F252=F222)*AND(G252=G222)*AND(H252=H222)*AND(I252=I222)*AND(K252=K222)*AND(L252=L222)*AND(M252=M222)*AND(J252=J222),"Выполнено","ПРОВЕРИТЬ (в сумме должно получиться общее число действующих представительных органов)")</f>
        <v>ПРОВЕРИТЬ (в сумме должно получиться общее число действующих представительных органов)</v>
      </c>
      <c r="O252" s="75"/>
      <c r="P252" s="44"/>
    </row>
    <row r="253" spans="2:16" s="21" customFormat="1" ht="30" x14ac:dyDescent="0.25">
      <c r="B253" s="107" t="s">
        <v>528</v>
      </c>
      <c r="C253" s="216" t="s">
        <v>79</v>
      </c>
      <c r="D253" s="72">
        <f t="shared" si="45"/>
        <v>0</v>
      </c>
      <c r="E253" s="52"/>
      <c r="F253" s="52"/>
      <c r="G253" s="52"/>
      <c r="H253" s="52"/>
      <c r="I253" s="52"/>
      <c r="J253" s="52"/>
      <c r="K253" s="136"/>
      <c r="L253" s="136"/>
      <c r="M253" s="136"/>
      <c r="N253" s="28"/>
      <c r="O253" s="75"/>
      <c r="P253" s="44"/>
    </row>
    <row r="254" spans="2:16" s="21" customFormat="1" ht="30" x14ac:dyDescent="0.25">
      <c r="B254" s="107" t="s">
        <v>529</v>
      </c>
      <c r="C254" s="216" t="s">
        <v>80</v>
      </c>
      <c r="D254" s="72">
        <f t="shared" si="45"/>
        <v>0</v>
      </c>
      <c r="E254" s="52"/>
      <c r="F254" s="52"/>
      <c r="G254" s="52"/>
      <c r="H254" s="52"/>
      <c r="I254" s="52"/>
      <c r="J254" s="52"/>
      <c r="K254" s="136"/>
      <c r="L254" s="136"/>
      <c r="M254" s="136"/>
      <c r="N254" s="28"/>
      <c r="O254" s="75"/>
      <c r="P254" s="44"/>
    </row>
    <row r="255" spans="2:16" s="21" customFormat="1" ht="30" x14ac:dyDescent="0.25">
      <c r="B255" s="108" t="s">
        <v>1046</v>
      </c>
      <c r="C255" s="217" t="s">
        <v>81</v>
      </c>
      <c r="D255" s="72">
        <f t="shared" si="45"/>
        <v>0</v>
      </c>
      <c r="E255" s="135"/>
      <c r="F255" s="135"/>
      <c r="G255" s="135"/>
      <c r="H255" s="135"/>
      <c r="I255" s="135"/>
      <c r="J255" s="135"/>
      <c r="K255" s="135"/>
      <c r="L255" s="135"/>
      <c r="M255" s="135"/>
      <c r="N255" s="28"/>
      <c r="O255" s="79" t="str">
        <f>IF(((D255=0)),"   ","Нужно заполнить пункт 35 текстовой части - о представительных органах в неправомочном составе")</f>
        <v xml:space="preserve">   </v>
      </c>
      <c r="P255" s="44"/>
    </row>
    <row r="256" spans="2:16" s="21" customFormat="1" ht="45" x14ac:dyDescent="0.25">
      <c r="B256" s="107" t="s">
        <v>632</v>
      </c>
      <c r="C256" s="216" t="s">
        <v>193</v>
      </c>
      <c r="D256" s="72">
        <f t="shared" si="45"/>
        <v>0</v>
      </c>
      <c r="E256" s="133">
        <f>SUM(E258:E259)</f>
        <v>0</v>
      </c>
      <c r="F256" s="133">
        <f t="shared" ref="F256:G256" si="50">SUM(F257:F259)</f>
        <v>0</v>
      </c>
      <c r="G256" s="133">
        <f t="shared" si="50"/>
        <v>0</v>
      </c>
      <c r="H256" s="133">
        <f t="shared" ref="H256:M256" si="51">SUM(H258:H259)</f>
        <v>0</v>
      </c>
      <c r="I256" s="133">
        <f t="shared" si="51"/>
        <v>0</v>
      </c>
      <c r="J256" s="133">
        <f t="shared" si="51"/>
        <v>0</v>
      </c>
      <c r="K256" s="133">
        <f t="shared" si="51"/>
        <v>0</v>
      </c>
      <c r="L256" s="133">
        <f t="shared" si="51"/>
        <v>0</v>
      </c>
      <c r="M256" s="133">
        <f t="shared" si="51"/>
        <v>0</v>
      </c>
      <c r="N256" s="28"/>
      <c r="O256" s="75"/>
      <c r="P256" s="44"/>
    </row>
    <row r="257" spans="2:16" s="21" customFormat="1" ht="30" x14ac:dyDescent="0.25">
      <c r="B257" s="108" t="s">
        <v>1047</v>
      </c>
      <c r="C257" s="217" t="s">
        <v>289</v>
      </c>
      <c r="D257" s="87">
        <f t="shared" ref="D257" si="52">F257+G257</f>
        <v>0</v>
      </c>
      <c r="E257" s="133"/>
      <c r="F257" s="135"/>
      <c r="G257" s="135"/>
      <c r="H257" s="146"/>
      <c r="I257" s="147"/>
      <c r="J257" s="147"/>
      <c r="K257" s="147"/>
      <c r="L257" s="147"/>
      <c r="M257" s="147"/>
      <c r="N257" s="51" t="str">
        <f>IF((F257&lt;=F$10)*AND(G257&lt;=G$10),"Выполнено","ПРОВЕРИТЬ (таких поселений не может быть больше чем всех поселений)")</f>
        <v>Выполнено</v>
      </c>
      <c r="O257" s="79" t="str">
        <f>IF(((D257=0)),"   ","Нужно заполнить пункт 31 текстовой части - о малочисленных поселениях без представительных органов")</f>
        <v xml:space="preserve">   </v>
      </c>
      <c r="P257" s="44"/>
    </row>
    <row r="258" spans="2:16" s="21" customFormat="1" ht="45" x14ac:dyDescent="0.25">
      <c r="B258" s="108" t="s">
        <v>1048</v>
      </c>
      <c r="C258" s="217" t="s">
        <v>290</v>
      </c>
      <c r="D258" s="72">
        <f t="shared" si="45"/>
        <v>0</v>
      </c>
      <c r="E258" s="135"/>
      <c r="F258" s="135"/>
      <c r="G258" s="135"/>
      <c r="H258" s="135"/>
      <c r="I258" s="135"/>
      <c r="J258" s="135"/>
      <c r="K258" s="135"/>
      <c r="L258" s="135"/>
      <c r="M258" s="135"/>
      <c r="N258" s="28"/>
      <c r="O258" s="79" t="str">
        <f>IF(((D258=0)),"   ","Нужно заполнить пункт 36 текстовой части - о распущенных представительных органах")</f>
        <v xml:space="preserve">   </v>
      </c>
      <c r="P258" s="44"/>
    </row>
    <row r="259" spans="2:16" s="21" customFormat="1" ht="60" x14ac:dyDescent="0.25">
      <c r="B259" s="108" t="s">
        <v>947</v>
      </c>
      <c r="C259" s="217" t="s">
        <v>291</v>
      </c>
      <c r="D259" s="72">
        <f t="shared" si="45"/>
        <v>0</v>
      </c>
      <c r="E259" s="135"/>
      <c r="F259" s="135"/>
      <c r="G259" s="135"/>
      <c r="H259" s="135"/>
      <c r="I259" s="135"/>
      <c r="J259" s="135"/>
      <c r="K259" s="135"/>
      <c r="L259" s="135"/>
      <c r="M259" s="135"/>
      <c r="N259" s="28"/>
      <c r="O259" s="79" t="str">
        <f>IF(((D259=0)),"   ","Нужно заполнить пункт 37 текстовой части - о представительных органах в процессе преобразования")</f>
        <v xml:space="preserve">   </v>
      </c>
      <c r="P259" s="44"/>
    </row>
    <row r="260" spans="2:16" s="21" customFormat="1" ht="60" x14ac:dyDescent="0.25">
      <c r="B260" s="108" t="s">
        <v>1049</v>
      </c>
      <c r="C260" s="217" t="s">
        <v>573</v>
      </c>
      <c r="D260" s="72">
        <f t="shared" si="45"/>
        <v>0</v>
      </c>
      <c r="E260" s="135"/>
      <c r="F260" s="135"/>
      <c r="G260" s="135"/>
      <c r="H260" s="135"/>
      <c r="I260" s="135"/>
      <c r="J260" s="135"/>
      <c r="K260" s="135"/>
      <c r="L260" s="135"/>
      <c r="M260" s="135"/>
      <c r="N260" s="28"/>
      <c r="O260" s="79" t="str">
        <f>IF(((D260=0)),"   ","Нужно заполнить пункт 37 текстовой части - о представительных органах в процессе преобразования")</f>
        <v xml:space="preserve">   </v>
      </c>
      <c r="P260" s="44"/>
    </row>
    <row r="261" spans="2:16" s="21" customFormat="1" ht="30" x14ac:dyDescent="0.25">
      <c r="B261" s="107" t="s">
        <v>1050</v>
      </c>
      <c r="C261" s="216" t="s">
        <v>1043</v>
      </c>
      <c r="D261" s="72">
        <f t="shared" si="45"/>
        <v>4</v>
      </c>
      <c r="E261" s="52"/>
      <c r="F261" s="52"/>
      <c r="G261" s="52">
        <v>4</v>
      </c>
      <c r="H261" s="52"/>
      <c r="I261" s="52"/>
      <c r="J261" s="52"/>
      <c r="K261" s="136"/>
      <c r="L261" s="136"/>
      <c r="M261" s="136"/>
      <c r="N261" s="75"/>
      <c r="O261" s="75"/>
      <c r="P261" s="77"/>
    </row>
    <row r="262" spans="2:16" s="73" customFormat="1" ht="30" x14ac:dyDescent="0.25">
      <c r="B262" s="107" t="s">
        <v>1051</v>
      </c>
      <c r="C262" s="216" t="s">
        <v>948</v>
      </c>
      <c r="D262" s="72">
        <f t="shared" ref="D262:D269" si="53">SUM(E262:I262)+SUM(K262:M262)</f>
        <v>0</v>
      </c>
      <c r="E262" s="52"/>
      <c r="F262" s="52"/>
      <c r="G262" s="52"/>
      <c r="H262" s="52"/>
      <c r="I262" s="52"/>
      <c r="J262" s="52"/>
      <c r="K262" s="136"/>
      <c r="L262" s="136"/>
      <c r="M262" s="136"/>
      <c r="N262" s="75"/>
      <c r="O262" s="75"/>
      <c r="P262" s="77"/>
    </row>
    <row r="263" spans="2:16" s="21" customFormat="1" ht="45" x14ac:dyDescent="0.25">
      <c r="B263" s="106" t="s">
        <v>633</v>
      </c>
      <c r="C263" s="215" t="s">
        <v>546</v>
      </c>
      <c r="D263" s="55"/>
      <c r="E263" s="56"/>
      <c r="F263" s="56"/>
      <c r="G263" s="56"/>
      <c r="H263" s="56"/>
      <c r="I263" s="56"/>
      <c r="J263" s="56"/>
      <c r="K263" s="56"/>
      <c r="L263" s="56"/>
      <c r="M263" s="56"/>
      <c r="N263" s="33"/>
      <c r="O263" s="74"/>
      <c r="P263" s="42"/>
    </row>
    <row r="264" spans="2:16" s="21" customFormat="1" ht="60" x14ac:dyDescent="0.25">
      <c r="B264" s="107" t="s">
        <v>19</v>
      </c>
      <c r="C264" s="222" t="s">
        <v>1446</v>
      </c>
      <c r="D264" s="72">
        <f t="shared" si="53"/>
        <v>0</v>
      </c>
      <c r="E264" s="52"/>
      <c r="F264" s="52"/>
      <c r="G264" s="52"/>
      <c r="H264" s="52"/>
      <c r="I264" s="52"/>
      <c r="J264" s="52"/>
      <c r="K264" s="134"/>
      <c r="L264" s="134"/>
      <c r="M264" s="134"/>
      <c r="N264" s="37" t="str">
        <f>IF((D264&gt;=D223)*AND(E264&gt;=E223)*AND(F264&gt;=F223)*AND(G264&gt;=G223)*AND(H264&gt;=H223)*AND(I264&gt;=I223)*AND(K264&gt;=K223)*AND(L264&gt;=L223)*AND(M264&gt;=M223)*AND(J264&gt;=J223),"Выполнено","ПРОВЕРИТЬ (число депутатов, избранных на выборах, обычно в разы больше числа составов, избранных на выборах)")</f>
        <v>ПРОВЕРИТЬ (число депутатов, избранных на выборах, обычно в разы больше числа составов, избранных на выборах)</v>
      </c>
      <c r="O264" s="75"/>
      <c r="P264" s="42"/>
    </row>
    <row r="265" spans="2:16" s="21" customFormat="1" ht="45" x14ac:dyDescent="0.25">
      <c r="B265" s="107" t="s">
        <v>335</v>
      </c>
      <c r="C265" s="222" t="s">
        <v>1044</v>
      </c>
      <c r="D265" s="72">
        <f t="shared" si="53"/>
        <v>0</v>
      </c>
      <c r="E265" s="166"/>
      <c r="F265" s="166"/>
      <c r="G265" s="166"/>
      <c r="H265" s="166"/>
      <c r="I265" s="166"/>
      <c r="J265" s="166"/>
      <c r="K265" s="166"/>
      <c r="L265" s="166"/>
      <c r="M265" s="166"/>
      <c r="N265" s="27"/>
      <c r="O265" s="75"/>
      <c r="P265" s="42"/>
    </row>
    <row r="266" spans="2:16" s="21" customFormat="1" ht="45" x14ac:dyDescent="0.25">
      <c r="B266" s="107" t="s">
        <v>20</v>
      </c>
      <c r="C266" s="222" t="s">
        <v>1045</v>
      </c>
      <c r="D266" s="72">
        <f t="shared" si="53"/>
        <v>0</v>
      </c>
      <c r="E266" s="166"/>
      <c r="F266" s="166"/>
      <c r="G266" s="166"/>
      <c r="H266" s="166"/>
      <c r="I266" s="166"/>
      <c r="J266" s="166"/>
      <c r="K266" s="166"/>
      <c r="L266" s="166"/>
      <c r="M266" s="166"/>
      <c r="N266" s="27"/>
      <c r="O266" s="75"/>
      <c r="P266" s="42"/>
    </row>
    <row r="267" spans="2:16" s="21" customFormat="1" x14ac:dyDescent="0.25">
      <c r="B267" s="109" t="s">
        <v>336</v>
      </c>
      <c r="C267" s="222" t="s">
        <v>82</v>
      </c>
      <c r="D267" s="72">
        <f>SUM(E267:I267)+SUM(K267:M267)</f>
        <v>0</v>
      </c>
      <c r="E267" s="133">
        <f t="shared" ref="E267:M267" si="54">E268+E269</f>
        <v>0</v>
      </c>
      <c r="F267" s="133">
        <f t="shared" si="54"/>
        <v>0</v>
      </c>
      <c r="G267" s="133">
        <f t="shared" si="54"/>
        <v>0</v>
      </c>
      <c r="H267" s="133">
        <f t="shared" si="54"/>
        <v>0</v>
      </c>
      <c r="I267" s="133">
        <f t="shared" si="54"/>
        <v>0</v>
      </c>
      <c r="J267" s="133">
        <f t="shared" si="54"/>
        <v>0</v>
      </c>
      <c r="K267" s="133">
        <f t="shared" si="54"/>
        <v>0</v>
      </c>
      <c r="L267" s="133">
        <f t="shared" si="54"/>
        <v>0</v>
      </c>
      <c r="M267" s="133">
        <f t="shared" si="54"/>
        <v>0</v>
      </c>
      <c r="N267" s="37" t="str">
        <f>IF((D267=D264)*AND(E267=E264)*AND(F267=F264)*AND(G267=G264)*AND(H267=H264)*AND(I267=I264)*AND(K267=K264)*AND(L267=L264)*AND(M267=M264)*AND(J267=J264),"Выполнено","ПРОВЕРИТЬ (в сумме должно получиться общее число депутатов, избранных на муниципальных выборах)")</f>
        <v>Выполнено</v>
      </c>
      <c r="O267" s="75"/>
      <c r="P267" s="44"/>
    </row>
    <row r="268" spans="2:16" s="21" customFormat="1" x14ac:dyDescent="0.25">
      <c r="B268" s="109" t="s">
        <v>337</v>
      </c>
      <c r="C268" s="222" t="s">
        <v>83</v>
      </c>
      <c r="D268" s="72">
        <f t="shared" si="53"/>
        <v>0</v>
      </c>
      <c r="E268" s="52"/>
      <c r="F268" s="52"/>
      <c r="G268" s="52"/>
      <c r="H268" s="52"/>
      <c r="I268" s="52"/>
      <c r="J268" s="52"/>
      <c r="K268" s="134"/>
      <c r="L268" s="134"/>
      <c r="M268" s="134"/>
      <c r="N268" s="30"/>
      <c r="O268" s="76"/>
      <c r="P268" s="44"/>
    </row>
    <row r="269" spans="2:16" s="21" customFormat="1" x14ac:dyDescent="0.25">
      <c r="B269" s="109" t="s">
        <v>338</v>
      </c>
      <c r="C269" s="222" t="s">
        <v>84</v>
      </c>
      <c r="D269" s="72">
        <f t="shared" si="53"/>
        <v>0</v>
      </c>
      <c r="E269" s="52"/>
      <c r="F269" s="52"/>
      <c r="G269" s="52"/>
      <c r="H269" s="52"/>
      <c r="I269" s="52"/>
      <c r="J269" s="52"/>
      <c r="K269" s="134"/>
      <c r="L269" s="134"/>
      <c r="M269" s="134"/>
      <c r="N269" s="30"/>
      <c r="O269" s="76"/>
      <c r="P269" s="42"/>
    </row>
    <row r="270" spans="2:16" s="73" customFormat="1" ht="45" x14ac:dyDescent="0.25">
      <c r="B270" s="109" t="s">
        <v>634</v>
      </c>
      <c r="C270" s="222" t="s">
        <v>1447</v>
      </c>
      <c r="D270" s="72">
        <f t="shared" ref="D270" si="55">E270+K270</f>
        <v>0</v>
      </c>
      <c r="E270" s="133">
        <f>SUM(E271:E273)</f>
        <v>0</v>
      </c>
      <c r="F270" s="138"/>
      <c r="G270" s="139"/>
      <c r="H270" s="139"/>
      <c r="I270" s="139"/>
      <c r="J270" s="140"/>
      <c r="K270" s="133">
        <f>SUM(K271:K273)</f>
        <v>0</v>
      </c>
      <c r="L270" s="138"/>
      <c r="M270" s="140"/>
      <c r="N270" s="37" t="str">
        <f>IF((D270&gt;=D227)*AND(E270&gt;=E227)*AND(K270&gt;=K227),"Выполнено","ПРОВЕРИТЬ (число депутатов, избранных по системе делегирования, обычно в разы больше числа составов, избранных по системе делегирования)")</f>
        <v>Выполнено</v>
      </c>
      <c r="O270" s="76"/>
      <c r="P270" s="42"/>
    </row>
    <row r="271" spans="2:16" s="73" customFormat="1" x14ac:dyDescent="0.25">
      <c r="B271" s="109" t="s">
        <v>635</v>
      </c>
      <c r="C271" s="222" t="s">
        <v>89</v>
      </c>
      <c r="D271" s="72">
        <f>E271</f>
        <v>0</v>
      </c>
      <c r="E271" s="136"/>
      <c r="F271" s="150"/>
      <c r="G271" s="151"/>
      <c r="H271" s="151"/>
      <c r="I271" s="151"/>
      <c r="J271" s="152"/>
      <c r="K271" s="141"/>
      <c r="L271" s="150"/>
      <c r="M271" s="152"/>
      <c r="N271" s="30"/>
      <c r="O271" s="76"/>
      <c r="P271" s="42"/>
    </row>
    <row r="272" spans="2:16" s="73" customFormat="1" x14ac:dyDescent="0.25">
      <c r="B272" s="109" t="s">
        <v>636</v>
      </c>
      <c r="C272" s="222" t="s">
        <v>90</v>
      </c>
      <c r="D272" s="72">
        <f>E272</f>
        <v>0</v>
      </c>
      <c r="E272" s="136"/>
      <c r="F272" s="150"/>
      <c r="G272" s="151"/>
      <c r="H272" s="151"/>
      <c r="I272" s="151"/>
      <c r="J272" s="152"/>
      <c r="K272" s="145"/>
      <c r="L272" s="150"/>
      <c r="M272" s="152"/>
      <c r="N272" s="30"/>
      <c r="O272" s="76"/>
      <c r="P272" s="42"/>
    </row>
    <row r="273" spans="2:16" s="73" customFormat="1" x14ac:dyDescent="0.25">
      <c r="B273" s="109" t="s">
        <v>637</v>
      </c>
      <c r="C273" s="222" t="s">
        <v>91</v>
      </c>
      <c r="D273" s="72">
        <f>K273</f>
        <v>0</v>
      </c>
      <c r="E273" s="133"/>
      <c r="F273" s="150"/>
      <c r="G273" s="151"/>
      <c r="H273" s="151"/>
      <c r="I273" s="151"/>
      <c r="J273" s="151"/>
      <c r="K273" s="136"/>
      <c r="L273" s="150"/>
      <c r="M273" s="151"/>
      <c r="N273" s="30"/>
      <c r="O273" s="76"/>
      <c r="P273" s="42"/>
    </row>
    <row r="274" spans="2:16" s="73" customFormat="1" x14ac:dyDescent="0.25">
      <c r="B274" s="109" t="s">
        <v>638</v>
      </c>
      <c r="C274" s="222" t="s">
        <v>82</v>
      </c>
      <c r="D274" s="72">
        <f>E274+K274</f>
        <v>0</v>
      </c>
      <c r="E274" s="133">
        <f t="shared" ref="E274" si="56">E275+E276</f>
        <v>0</v>
      </c>
      <c r="F274" s="150"/>
      <c r="G274" s="151"/>
      <c r="H274" s="151"/>
      <c r="I274" s="151"/>
      <c r="J274" s="151"/>
      <c r="K274" s="133">
        <f t="shared" ref="K274" si="57">K275+K276</f>
        <v>0</v>
      </c>
      <c r="L274" s="150"/>
      <c r="M274" s="151"/>
      <c r="N274" s="37" t="str">
        <f>IF((E274=E270)*AND(K274=K270),"Выполнено","ПРОВЕРИТЬ (в сумме должно получиться общее число депутатов, избранных методом делегирования)")</f>
        <v>Выполнено</v>
      </c>
      <c r="O274" s="75"/>
      <c r="P274" s="42"/>
    </row>
    <row r="275" spans="2:16" s="73" customFormat="1" x14ac:dyDescent="0.25">
      <c r="B275" s="109" t="s">
        <v>639</v>
      </c>
      <c r="C275" s="222" t="s">
        <v>83</v>
      </c>
      <c r="D275" s="72">
        <f>E275+K275</f>
        <v>0</v>
      </c>
      <c r="E275" s="134"/>
      <c r="F275" s="150"/>
      <c r="G275" s="151"/>
      <c r="H275" s="151"/>
      <c r="I275" s="151"/>
      <c r="J275" s="151"/>
      <c r="K275" s="134"/>
      <c r="L275" s="150"/>
      <c r="M275" s="152"/>
      <c r="N275" s="30"/>
      <c r="O275" s="75"/>
      <c r="P275" s="42"/>
    </row>
    <row r="276" spans="2:16" s="73" customFormat="1" x14ac:dyDescent="0.25">
      <c r="B276" s="109" t="s">
        <v>640</v>
      </c>
      <c r="C276" s="222" t="s">
        <v>84</v>
      </c>
      <c r="D276" s="72">
        <f>E276+K276</f>
        <v>0</v>
      </c>
      <c r="E276" s="134"/>
      <c r="F276" s="142"/>
      <c r="G276" s="151"/>
      <c r="H276" s="151"/>
      <c r="I276" s="151"/>
      <c r="J276" s="151"/>
      <c r="K276" s="134"/>
      <c r="L276" s="142"/>
      <c r="M276" s="144"/>
      <c r="N276" s="30"/>
      <c r="O276" s="75"/>
      <c r="P276" s="42"/>
    </row>
    <row r="277" spans="2:16" s="73" customFormat="1" ht="30" x14ac:dyDescent="0.25">
      <c r="B277" s="109" t="s">
        <v>462</v>
      </c>
      <c r="C277" s="222" t="s">
        <v>180</v>
      </c>
      <c r="D277" s="133">
        <f t="shared" ref="D277" si="58">SUM(D278:D280)</f>
        <v>0</v>
      </c>
      <c r="E277" s="151"/>
      <c r="F277" s="139"/>
      <c r="G277" s="139"/>
      <c r="H277" s="139"/>
      <c r="I277" s="139"/>
      <c r="J277" s="140"/>
      <c r="K277" s="139"/>
      <c r="L277" s="139"/>
      <c r="M277" s="139"/>
      <c r="N277" s="30"/>
      <c r="O277" s="75"/>
      <c r="P277" s="42"/>
    </row>
    <row r="278" spans="2:16" s="73" customFormat="1" x14ac:dyDescent="0.25">
      <c r="B278" s="109" t="s">
        <v>641</v>
      </c>
      <c r="C278" s="222" t="s">
        <v>92</v>
      </c>
      <c r="D278" s="12"/>
      <c r="E278" s="150"/>
      <c r="F278" s="151"/>
      <c r="G278" s="151"/>
      <c r="H278" s="151"/>
      <c r="I278" s="151"/>
      <c r="J278" s="152"/>
      <c r="K278" s="151"/>
      <c r="L278" s="151"/>
      <c r="M278" s="151"/>
      <c r="N278" s="51" t="str">
        <f>IF((D278&lt;=D271),"Выполнено","ПРОВЕРИТЬ (таких депутатов не может быть больше чем депутатов, избранных делегированным способом от городских поселений)")</f>
        <v>Выполнено</v>
      </c>
      <c r="O278" s="75"/>
      <c r="P278" s="42"/>
    </row>
    <row r="279" spans="2:16" s="21" customFormat="1" x14ac:dyDescent="0.25">
      <c r="B279" s="109" t="s">
        <v>642</v>
      </c>
      <c r="C279" s="222" t="s">
        <v>93</v>
      </c>
      <c r="D279" s="12"/>
      <c r="E279" s="150"/>
      <c r="F279" s="151"/>
      <c r="G279" s="151"/>
      <c r="H279" s="151"/>
      <c r="I279" s="151"/>
      <c r="J279" s="152"/>
      <c r="K279" s="151"/>
      <c r="L279" s="151"/>
      <c r="M279" s="151"/>
      <c r="N279" s="51" t="str">
        <f>IF((D279&lt;=D272),"Выполнено","ПРОВЕРИТЬ (таких депутатов с двумя мандатами не может быть больше чем депутатов, избранных делегированным способом от сельских поселений)")</f>
        <v>Выполнено</v>
      </c>
      <c r="O279" s="75"/>
      <c r="P279" s="44"/>
    </row>
    <row r="280" spans="2:16" s="21" customFormat="1" ht="30" x14ac:dyDescent="0.25">
      <c r="B280" s="109" t="s">
        <v>643</v>
      </c>
      <c r="C280" s="222" t="s">
        <v>94</v>
      </c>
      <c r="D280" s="12"/>
      <c r="E280" s="142"/>
      <c r="F280" s="143"/>
      <c r="G280" s="143"/>
      <c r="H280" s="143"/>
      <c r="I280" s="143"/>
      <c r="J280" s="144"/>
      <c r="K280" s="143"/>
      <c r="L280" s="143"/>
      <c r="M280" s="143"/>
      <c r="N280" s="51" t="str">
        <f>IF((D280&lt;=D273),"Выполнено","ПРОВЕРИТЬ (таких депутатов с двумя мандатами не может быть больше чем депутатов, избранных делегированным способом от внутригородских районов)")</f>
        <v>Выполнено</v>
      </c>
      <c r="O280" s="75"/>
      <c r="P280" s="42"/>
    </row>
    <row r="281" spans="2:16" s="21" customFormat="1" x14ac:dyDescent="0.25">
      <c r="B281" s="109" t="s">
        <v>644</v>
      </c>
      <c r="C281" s="222" t="s">
        <v>27</v>
      </c>
      <c r="D281" s="72">
        <f t="shared" ref="D281:D316" si="59">SUM(E281:I281)+SUM(K281:M281)</f>
        <v>12</v>
      </c>
      <c r="E281" s="166"/>
      <c r="F281" s="166"/>
      <c r="G281" s="166">
        <v>12</v>
      </c>
      <c r="H281" s="166"/>
      <c r="I281" s="166"/>
      <c r="J281" s="166"/>
      <c r="K281" s="166"/>
      <c r="L281" s="166"/>
      <c r="M281" s="166"/>
      <c r="N281" s="30"/>
      <c r="O281" s="76"/>
      <c r="P281" s="42"/>
    </row>
    <row r="282" spans="2:16" s="21" customFormat="1" ht="45" x14ac:dyDescent="0.25">
      <c r="B282" s="109" t="s">
        <v>373</v>
      </c>
      <c r="C282" s="222" t="s">
        <v>470</v>
      </c>
      <c r="D282" s="72">
        <f>D281-D277</f>
        <v>12</v>
      </c>
      <c r="E282" s="146"/>
      <c r="F282" s="147"/>
      <c r="G282" s="147"/>
      <c r="H282" s="147"/>
      <c r="I282" s="147"/>
      <c r="J282" s="154"/>
      <c r="K282" s="147"/>
      <c r="L282" s="147"/>
      <c r="M282" s="147"/>
      <c r="N282" s="30"/>
      <c r="O282" s="76"/>
      <c r="P282" s="45"/>
    </row>
    <row r="283" spans="2:16" s="21" customFormat="1" ht="45" x14ac:dyDescent="0.25">
      <c r="B283" s="107" t="s">
        <v>645</v>
      </c>
      <c r="C283" s="222" t="s">
        <v>1448</v>
      </c>
      <c r="D283" s="72">
        <f t="shared" si="59"/>
        <v>2</v>
      </c>
      <c r="E283" s="52"/>
      <c r="F283" s="52"/>
      <c r="G283" s="52">
        <v>2</v>
      </c>
      <c r="H283" s="52"/>
      <c r="I283" s="52"/>
      <c r="J283" s="52"/>
      <c r="K283" s="134"/>
      <c r="L283" s="134"/>
      <c r="M283" s="134"/>
      <c r="N283" s="37" t="str">
        <f>IF((D283&gt;=(D254+D255))*AND(E283&gt;=(E254+E255))*AND(F283&gt;=(F254+F255))*AND(G283&gt;=(G254+G255))*AND(H283&gt;=(H254+H255))*AND(I283&gt;=(I254+I255))*AND(K283&gt;=(K254+K255))*AND(L283&gt;=(L254+L255))*AND(M283&gt;=(M254+M255))*AND(J283&gt;=(J254+J255)),"Выполнено","ПРОВЕРИТЬ (вакантных мандатов не может быть меньше чем не укомплектованных составов)
)")</f>
        <v>Выполнено</v>
      </c>
      <c r="O283" s="76"/>
      <c r="P283" s="42"/>
    </row>
    <row r="284" spans="2:16" s="73" customFormat="1" ht="60" x14ac:dyDescent="0.25">
      <c r="B284" s="107" t="s">
        <v>394</v>
      </c>
      <c r="C284" s="222" t="s">
        <v>538</v>
      </c>
      <c r="D284" s="72">
        <f t="shared" si="59"/>
        <v>14</v>
      </c>
      <c r="E284" s="133">
        <f>E281+E283</f>
        <v>0</v>
      </c>
      <c r="F284" s="133">
        <f t="shared" ref="F284:M284" si="60">F281+F283</f>
        <v>0</v>
      </c>
      <c r="G284" s="133">
        <f t="shared" si="60"/>
        <v>14</v>
      </c>
      <c r="H284" s="133">
        <f t="shared" si="60"/>
        <v>0</v>
      </c>
      <c r="I284" s="133">
        <f t="shared" si="60"/>
        <v>0</v>
      </c>
      <c r="J284" s="133">
        <f>J281+J283</f>
        <v>0</v>
      </c>
      <c r="K284" s="133">
        <f t="shared" si="60"/>
        <v>0</v>
      </c>
      <c r="L284" s="133">
        <f t="shared" si="60"/>
        <v>0</v>
      </c>
      <c r="M284" s="133">
        <f t="shared" si="60"/>
        <v>0</v>
      </c>
      <c r="N284" s="76"/>
      <c r="O284" s="76"/>
      <c r="P284" s="42"/>
    </row>
    <row r="285" spans="2:16" s="73" customFormat="1" ht="45" x14ac:dyDescent="0.25">
      <c r="B285" s="107" t="s">
        <v>646</v>
      </c>
      <c r="C285" s="222" t="s">
        <v>550</v>
      </c>
      <c r="D285" s="72">
        <f t="shared" si="59"/>
        <v>0</v>
      </c>
      <c r="E285" s="134"/>
      <c r="F285" s="134"/>
      <c r="G285" s="134"/>
      <c r="H285" s="134"/>
      <c r="I285" s="134"/>
      <c r="J285" s="134"/>
      <c r="K285" s="134"/>
      <c r="L285" s="134"/>
      <c r="M285" s="134"/>
      <c r="N285" s="37" t="str">
        <f>IF((D285&gt;=(D258+D259))*AND(E285&gt;=(E258+E259))*AND(F285&gt;=(F258+F259))*AND(G285&gt;=(G258+G259))*AND(H285&gt;=(H258+H259))*AND(I285&gt;=(I258+I259))*AND(K285&gt;=(K258+K259))*AND(L285&gt;=(L258+L259))*AND(M285&gt;=(M258+M259))*AND(J285&gt;=(J258+J259)),"Выполнено","ПРОВЕРИТЬ (вакантных мандатов в таких составах не может быть меньше чем самих составов)
)")</f>
        <v>Выполнено</v>
      </c>
      <c r="O285" s="76"/>
      <c r="P285" s="42"/>
    </row>
    <row r="286" spans="2:16" s="73" customFormat="1" ht="60" x14ac:dyDescent="0.25">
      <c r="B286" s="107" t="s">
        <v>527</v>
      </c>
      <c r="C286" s="216" t="s">
        <v>572</v>
      </c>
      <c r="D286" s="72">
        <f t="shared" si="59"/>
        <v>0</v>
      </c>
      <c r="E286" s="134"/>
      <c r="F286" s="134"/>
      <c r="G286" s="134"/>
      <c r="H286" s="134"/>
      <c r="I286" s="134"/>
      <c r="J286" s="134"/>
      <c r="K286" s="134"/>
      <c r="L286" s="134"/>
      <c r="M286" s="134"/>
      <c r="N286" s="37" t="str">
        <f>IF((D286&gt;=D260)*AND(E286&gt;=E260)*AND(F286&gt;=F260)*AND(G286&gt;=G260)*AND(H286&gt;=H260)*AND(I286&gt;=I260)*AND(K286&gt;=K260)*AND(L286&gt;=L260)*AND(M286&gt;=M260)*AND(J286&gt;=J260),"Выполнено","ПРОВЕРИТЬ (число таких депутатов не может быть меньше числа соответствующих составов)
)")</f>
        <v>Выполнено</v>
      </c>
      <c r="O286" s="76"/>
      <c r="P286" s="42"/>
    </row>
    <row r="287" spans="2:16" s="73" customFormat="1" x14ac:dyDescent="0.25">
      <c r="B287" s="112" t="s">
        <v>647</v>
      </c>
      <c r="C287" s="223" t="s">
        <v>16</v>
      </c>
      <c r="D287" s="55"/>
      <c r="E287" s="56"/>
      <c r="F287" s="56"/>
      <c r="G287" s="56"/>
      <c r="H287" s="56"/>
      <c r="I287" s="56"/>
      <c r="J287" s="56"/>
      <c r="K287" s="56"/>
      <c r="L287" s="56"/>
      <c r="M287" s="56"/>
      <c r="N287" s="33"/>
      <c r="O287" s="74"/>
      <c r="P287" s="42"/>
    </row>
    <row r="288" spans="2:16" s="73" customFormat="1" ht="60" x14ac:dyDescent="0.25">
      <c r="B288" s="108" t="s">
        <v>344</v>
      </c>
      <c r="C288" s="217" t="s">
        <v>566</v>
      </c>
      <c r="D288" s="72">
        <f t="shared" si="59"/>
        <v>0</v>
      </c>
      <c r="E288" s="133">
        <f t="shared" ref="E288:M288" si="61">SUM(E289:E292)</f>
        <v>0</v>
      </c>
      <c r="F288" s="133">
        <f t="shared" si="61"/>
        <v>0</v>
      </c>
      <c r="G288" s="133">
        <f t="shared" si="61"/>
        <v>0</v>
      </c>
      <c r="H288" s="133">
        <f t="shared" si="61"/>
        <v>0</v>
      </c>
      <c r="I288" s="133">
        <f t="shared" si="61"/>
        <v>0</v>
      </c>
      <c r="J288" s="133">
        <f>SUM(J289:J292)</f>
        <v>0</v>
      </c>
      <c r="K288" s="133">
        <f t="shared" si="61"/>
        <v>0</v>
      </c>
      <c r="L288" s="133">
        <f t="shared" si="61"/>
        <v>0</v>
      </c>
      <c r="M288" s="133">
        <f t="shared" si="61"/>
        <v>0</v>
      </c>
      <c r="N288" s="37" t="str">
        <f>IF((D288=D$10)*AND(E288=E$10)*AND(F288=F$10)*AND(G288=G$10)*AND(H288=H$10)*AND(I288=I$10)*AND(K288=K$10)*AND(L288=L$10)*AND(M288=M$10)*AND(J288=J$10),"Выполнено","ПРОВЕРИТЬ (во всех муниципальных образованиях должен быть урегулирован способ избрания глав)")</f>
        <v>ПРОВЕРИТЬ (во всех муниципальных образованиях должен быть урегулирован способ избрания глав)</v>
      </c>
      <c r="O288" s="79" t="str">
        <f>IF(((D288=0)),"   ","Нужно заполнить пункт 38 текстовой части - о способах избрания и полномочиях глав муниципальных образований")</f>
        <v xml:space="preserve">   </v>
      </c>
      <c r="P288" s="42"/>
    </row>
    <row r="289" spans="2:16" s="73" customFormat="1" x14ac:dyDescent="0.25">
      <c r="B289" s="108" t="s">
        <v>339</v>
      </c>
      <c r="C289" s="217" t="s">
        <v>213</v>
      </c>
      <c r="D289" s="72">
        <f t="shared" si="59"/>
        <v>0</v>
      </c>
      <c r="E289" s="135"/>
      <c r="F289" s="135"/>
      <c r="G289" s="135"/>
      <c r="H289" s="135"/>
      <c r="I289" s="135"/>
      <c r="J289" s="135"/>
      <c r="K289" s="135"/>
      <c r="L289" s="135"/>
      <c r="M289" s="135"/>
      <c r="N289" s="30"/>
      <c r="O289" s="76"/>
      <c r="P289" s="42"/>
    </row>
    <row r="290" spans="2:16" s="73" customFormat="1" ht="30" x14ac:dyDescent="0.25">
      <c r="B290" s="108" t="s">
        <v>340</v>
      </c>
      <c r="C290" s="217" t="s">
        <v>214</v>
      </c>
      <c r="D290" s="72">
        <f t="shared" si="59"/>
        <v>0</v>
      </c>
      <c r="E290" s="135"/>
      <c r="F290" s="135"/>
      <c r="G290" s="135"/>
      <c r="H290" s="135"/>
      <c r="I290" s="135"/>
      <c r="J290" s="135"/>
      <c r="K290" s="135"/>
      <c r="L290" s="135"/>
      <c r="M290" s="135"/>
      <c r="N290" s="30"/>
      <c r="O290" s="76"/>
      <c r="P290" s="42"/>
    </row>
    <row r="291" spans="2:16" s="73" customFormat="1" ht="30" x14ac:dyDescent="0.25">
      <c r="B291" s="108" t="s">
        <v>648</v>
      </c>
      <c r="C291" s="217" t="s">
        <v>215</v>
      </c>
      <c r="D291" s="72">
        <f t="shared" si="59"/>
        <v>0</v>
      </c>
      <c r="E291" s="135"/>
      <c r="F291" s="135"/>
      <c r="G291" s="135"/>
      <c r="H291" s="135"/>
      <c r="I291" s="135"/>
      <c r="J291" s="135"/>
      <c r="K291" s="135"/>
      <c r="L291" s="135"/>
      <c r="M291" s="135"/>
      <c r="N291" s="30"/>
      <c r="O291" s="76"/>
      <c r="P291" s="42"/>
    </row>
    <row r="292" spans="2:16" s="73" customFormat="1" ht="45" x14ac:dyDescent="0.25">
      <c r="B292" s="108" t="s">
        <v>649</v>
      </c>
      <c r="C292" s="217" t="s">
        <v>293</v>
      </c>
      <c r="D292" s="72">
        <f t="shared" si="59"/>
        <v>0</v>
      </c>
      <c r="E292" s="135"/>
      <c r="F292" s="135"/>
      <c r="G292" s="135"/>
      <c r="H292" s="135"/>
      <c r="I292" s="135"/>
      <c r="J292" s="135"/>
      <c r="K292" s="135"/>
      <c r="L292" s="135"/>
      <c r="M292" s="135"/>
      <c r="N292" s="30"/>
      <c r="O292" s="76"/>
      <c r="P292" s="42"/>
    </row>
    <row r="293" spans="2:16" s="73" customFormat="1" ht="45" x14ac:dyDescent="0.25">
      <c r="B293" s="108" t="s">
        <v>341</v>
      </c>
      <c r="C293" s="217" t="s">
        <v>216</v>
      </c>
      <c r="D293" s="72">
        <f t="shared" si="59"/>
        <v>0</v>
      </c>
      <c r="E293" s="133">
        <f t="shared" ref="E293:M293" si="62">SUM(E294:E297)</f>
        <v>0</v>
      </c>
      <c r="F293" s="133">
        <f t="shared" si="62"/>
        <v>0</v>
      </c>
      <c r="G293" s="133">
        <f t="shared" si="62"/>
        <v>0</v>
      </c>
      <c r="H293" s="133">
        <f t="shared" si="62"/>
        <v>0</v>
      </c>
      <c r="I293" s="133">
        <f t="shared" si="62"/>
        <v>0</v>
      </c>
      <c r="J293" s="133">
        <f>SUM(J294:J297)</f>
        <v>0</v>
      </c>
      <c r="K293" s="133">
        <f t="shared" si="62"/>
        <v>0</v>
      </c>
      <c r="L293" s="133">
        <f t="shared" si="62"/>
        <v>0</v>
      </c>
      <c r="M293" s="133">
        <f t="shared" si="62"/>
        <v>0</v>
      </c>
      <c r="N293" s="37" t="str">
        <f>IF((D293=D$10)*AND(E293=E$10)*AND(F293=F$10)*AND(G293=G$10)*AND(H293=H$10)*AND(I293=I$10)*AND(K293=K$10)*AND(L293=L$10)*AND(M293=M$10)*AND(J293=J$10),"Выполнено","ПРОВЕРИТЬ (во всех муниципальных образованиях должен быть урегулирован статус глав)")</f>
        <v>ПРОВЕРИТЬ (во всех муниципальных образованиях должен быть урегулирован статус глав)</v>
      </c>
      <c r="O293" s="79" t="str">
        <f>IF(((D293=0)),"   ","Нужно заполнить пункт 38 текстовой части - о способах избрания и полномочиях глав муниципальных образований")</f>
        <v xml:space="preserve">   </v>
      </c>
      <c r="P293" s="42"/>
    </row>
    <row r="294" spans="2:16" s="73" customFormat="1" ht="30" x14ac:dyDescent="0.25">
      <c r="B294" s="108" t="s">
        <v>650</v>
      </c>
      <c r="C294" s="217" t="s">
        <v>218</v>
      </c>
      <c r="D294" s="72">
        <f t="shared" si="59"/>
        <v>0</v>
      </c>
      <c r="E294" s="135"/>
      <c r="F294" s="135"/>
      <c r="G294" s="135"/>
      <c r="H294" s="135"/>
      <c r="I294" s="135"/>
      <c r="J294" s="135"/>
      <c r="K294" s="135"/>
      <c r="L294" s="135"/>
      <c r="M294" s="135"/>
      <c r="N294" s="30"/>
      <c r="O294" s="76"/>
      <c r="P294" s="42"/>
    </row>
    <row r="295" spans="2:16" s="73" customFormat="1" x14ac:dyDescent="0.25">
      <c r="B295" s="108" t="s">
        <v>651</v>
      </c>
      <c r="C295" s="217" t="s">
        <v>217</v>
      </c>
      <c r="D295" s="72">
        <f t="shared" si="59"/>
        <v>0</v>
      </c>
      <c r="E295" s="135"/>
      <c r="F295" s="135"/>
      <c r="G295" s="135"/>
      <c r="H295" s="135"/>
      <c r="I295" s="135"/>
      <c r="J295" s="135"/>
      <c r="K295" s="135"/>
      <c r="L295" s="135"/>
      <c r="M295" s="135"/>
      <c r="N295" s="30"/>
      <c r="O295" s="76"/>
      <c r="P295" s="42"/>
    </row>
    <row r="296" spans="2:16" s="73" customFormat="1" ht="45" x14ac:dyDescent="0.25">
      <c r="B296" s="108" t="s">
        <v>652</v>
      </c>
      <c r="C296" s="217" t="s">
        <v>219</v>
      </c>
      <c r="D296" s="72">
        <f>G296+M296</f>
        <v>0</v>
      </c>
      <c r="E296" s="153"/>
      <c r="F296" s="153"/>
      <c r="G296" s="135"/>
      <c r="H296" s="153"/>
      <c r="I296" s="153"/>
      <c r="J296" s="153"/>
      <c r="K296" s="153"/>
      <c r="L296" s="153"/>
      <c r="M296" s="135"/>
      <c r="N296" s="30"/>
      <c r="O296" s="76"/>
      <c r="P296" s="42"/>
    </row>
    <row r="297" spans="2:16" s="21" customFormat="1" ht="45" x14ac:dyDescent="0.25">
      <c r="B297" s="108" t="s">
        <v>653</v>
      </c>
      <c r="C297" s="217" t="s">
        <v>294</v>
      </c>
      <c r="D297" s="72">
        <f t="shared" si="59"/>
        <v>0</v>
      </c>
      <c r="E297" s="135"/>
      <c r="F297" s="135"/>
      <c r="G297" s="135"/>
      <c r="H297" s="135"/>
      <c r="I297" s="135"/>
      <c r="J297" s="135"/>
      <c r="K297" s="135"/>
      <c r="L297" s="135"/>
      <c r="M297" s="135"/>
      <c r="N297" s="30"/>
      <c r="O297" s="76"/>
      <c r="P297" s="45"/>
    </row>
    <row r="298" spans="2:16" s="73" customFormat="1" ht="105" x14ac:dyDescent="0.25">
      <c r="B298" s="108" t="s">
        <v>654</v>
      </c>
      <c r="C298" s="217" t="s">
        <v>1006</v>
      </c>
      <c r="D298" s="72">
        <f t="shared" si="59"/>
        <v>0</v>
      </c>
      <c r="E298" s="135"/>
      <c r="F298" s="135"/>
      <c r="G298" s="135"/>
      <c r="H298" s="135"/>
      <c r="I298" s="135"/>
      <c r="J298" s="135"/>
      <c r="K298" s="135"/>
      <c r="L298" s="135"/>
      <c r="M298" s="135"/>
      <c r="N298" s="37" t="str">
        <f>IF((D298&lt;=D$10)*AND(E298&lt;=E$10)*AND(F298&lt;=F$10)*AND(G298&lt;=G$10)*AND(H298&lt;=H$10)*AND(I298&lt;=I$10)*AND(K298&lt;=K$10)*AND(L298&lt;=L$10)*AND(M298&lt;=M$10)*AND(J298&lt;=J$10),"Выполнено","ПРОВЕРИТЬ (таких муниципальных образований не может быть больше их общего числа)")</f>
        <v>Выполнено</v>
      </c>
      <c r="O298" s="79" t="str">
        <f>IF(((D298=0)),"   ","Нужно заполнить пункт 39 текстовой части - о муниципалитетах, соответствующих критериях, установленных законом субъекта Российской Федерации согласно решению КС РФ № 30-П")</f>
        <v xml:space="preserve">   </v>
      </c>
      <c r="P298" s="45"/>
    </row>
    <row r="299" spans="2:16" s="73" customFormat="1" ht="75" x14ac:dyDescent="0.25">
      <c r="B299" s="108" t="s">
        <v>655</v>
      </c>
      <c r="C299" s="217" t="s">
        <v>1005</v>
      </c>
      <c r="D299" s="72">
        <f t="shared" si="59"/>
        <v>2</v>
      </c>
      <c r="E299" s="133">
        <f>SUM(E300:E308)</f>
        <v>0</v>
      </c>
      <c r="F299" s="133">
        <f t="shared" ref="F299:G299" si="63">SUM(F300:F308)</f>
        <v>0</v>
      </c>
      <c r="G299" s="133">
        <f t="shared" si="63"/>
        <v>2</v>
      </c>
      <c r="H299" s="133">
        <f>SUM(H300:H308)</f>
        <v>0</v>
      </c>
      <c r="I299" s="133">
        <f>SUM(I300:I308)</f>
        <v>0</v>
      </c>
      <c r="J299" s="133">
        <f>SUM(J300:J308)</f>
        <v>0</v>
      </c>
      <c r="K299" s="133">
        <f t="shared" ref="K299:M299" si="64">SUM(K300:K308)</f>
        <v>0</v>
      </c>
      <c r="L299" s="133">
        <f t="shared" si="64"/>
        <v>0</v>
      </c>
      <c r="M299" s="133">
        <f t="shared" si="64"/>
        <v>0</v>
      </c>
      <c r="N299" s="37" t="str">
        <f>IF((D299=D128)*AND(E299=E128)*AND(F299=F128)*AND(G299=G128)*AND(H299=H128)*AND(I299=I128)*AND(K299=K128)*AND(L299=L128)*AND(M299=M128)*AND(J299=J128),"Выполнено","ПРОВЕРИТЬ (в уставах всех муниципальных образованиях должен быть урегулирован способ избрания глав)")</f>
        <v>ПРОВЕРИТЬ (в уставах всех муниципальных образованиях должен быть урегулирован способ избрания глав)</v>
      </c>
      <c r="O299" s="79" t="str">
        <f>IF(((D299=0)),"   ","Нужно заполнить пункт 38 текстовой части - о способах избрания и полномочиях глав муниципальных образований")</f>
        <v>Нужно заполнить пункт 38 текстовой части - о способах избрания и полномочиях глав муниципальных образований</v>
      </c>
      <c r="P299" s="45"/>
    </row>
    <row r="300" spans="2:16" s="73" customFormat="1" ht="30" x14ac:dyDescent="0.25">
      <c r="B300" s="108" t="s">
        <v>532</v>
      </c>
      <c r="C300" s="217" t="s">
        <v>221</v>
      </c>
      <c r="D300" s="72">
        <f t="shared" si="59"/>
        <v>0</v>
      </c>
      <c r="E300" s="135"/>
      <c r="F300" s="135"/>
      <c r="G300" s="135"/>
      <c r="H300" s="135"/>
      <c r="I300" s="135"/>
      <c r="J300" s="135"/>
      <c r="K300" s="135"/>
      <c r="L300" s="135"/>
      <c r="M300" s="135"/>
      <c r="N300" s="30"/>
      <c r="O300" s="79" t="str">
        <f>IF(((D300=0)),"   ","Нужно заполнить пункт 40 текстовой части - о главах, избранных на выборах и исполняющих обязанности председателей")</f>
        <v xml:space="preserve">   </v>
      </c>
      <c r="P300" s="45"/>
    </row>
    <row r="301" spans="2:16" s="73" customFormat="1" ht="30" x14ac:dyDescent="0.25">
      <c r="B301" s="108" t="s">
        <v>533</v>
      </c>
      <c r="C301" s="217" t="s">
        <v>222</v>
      </c>
      <c r="D301" s="72">
        <f t="shared" si="59"/>
        <v>0</v>
      </c>
      <c r="E301" s="135"/>
      <c r="F301" s="135"/>
      <c r="G301" s="134"/>
      <c r="H301" s="135"/>
      <c r="I301" s="135"/>
      <c r="J301" s="135"/>
      <c r="K301" s="135"/>
      <c r="L301" s="135"/>
      <c r="M301" s="135"/>
      <c r="N301" s="30"/>
      <c r="O301" s="76"/>
      <c r="P301" s="45"/>
    </row>
    <row r="302" spans="2:16" s="21" customFormat="1" ht="45" x14ac:dyDescent="0.25">
      <c r="B302" s="108" t="s">
        <v>656</v>
      </c>
      <c r="C302" s="217" t="s">
        <v>223</v>
      </c>
      <c r="D302" s="72">
        <f>G302+M302</f>
        <v>0</v>
      </c>
      <c r="E302" s="146"/>
      <c r="F302" s="154"/>
      <c r="G302" s="134"/>
      <c r="H302" s="146"/>
      <c r="I302" s="147"/>
      <c r="J302" s="147"/>
      <c r="K302" s="147"/>
      <c r="L302" s="154"/>
      <c r="M302" s="135"/>
      <c r="N302" s="30"/>
      <c r="O302" s="76"/>
      <c r="P302" s="44"/>
    </row>
    <row r="303" spans="2:16" ht="30" x14ac:dyDescent="0.25">
      <c r="B303" s="108" t="s">
        <v>657</v>
      </c>
      <c r="C303" s="217" t="s">
        <v>224</v>
      </c>
      <c r="D303" s="72">
        <f t="shared" si="59"/>
        <v>1</v>
      </c>
      <c r="E303" s="135"/>
      <c r="F303" s="135"/>
      <c r="G303" s="134">
        <v>1</v>
      </c>
      <c r="H303" s="135"/>
      <c r="I303" s="135"/>
      <c r="J303" s="135"/>
      <c r="K303" s="135"/>
      <c r="L303" s="135"/>
      <c r="M303" s="135"/>
      <c r="N303" s="30"/>
      <c r="O303" s="76"/>
      <c r="P303" s="46"/>
    </row>
    <row r="304" spans="2:16" ht="30" x14ac:dyDescent="0.25">
      <c r="B304" s="108" t="s">
        <v>658</v>
      </c>
      <c r="C304" s="217" t="s">
        <v>225</v>
      </c>
      <c r="D304" s="72">
        <f t="shared" si="59"/>
        <v>0</v>
      </c>
      <c r="E304" s="135"/>
      <c r="F304" s="135"/>
      <c r="G304" s="135"/>
      <c r="H304" s="135"/>
      <c r="I304" s="135"/>
      <c r="J304" s="135"/>
      <c r="K304" s="135"/>
      <c r="L304" s="135"/>
      <c r="M304" s="135"/>
      <c r="N304" s="30"/>
      <c r="O304" s="79" t="str">
        <f>IF(((D304=0)),"   ","Нужно заполнить пункт 40 текстовой части - о главах, избранных из состава депутатов и возглавляющих местные администрации")</f>
        <v xml:space="preserve">   </v>
      </c>
      <c r="P304" s="46"/>
    </row>
    <row r="305" spans="2:16" ht="45" x14ac:dyDescent="0.25">
      <c r="B305" s="108" t="s">
        <v>659</v>
      </c>
      <c r="C305" s="217" t="s">
        <v>226</v>
      </c>
      <c r="D305" s="72">
        <f>G305+M305</f>
        <v>0</v>
      </c>
      <c r="E305" s="146"/>
      <c r="F305" s="154"/>
      <c r="G305" s="134"/>
      <c r="H305" s="146"/>
      <c r="I305" s="147"/>
      <c r="J305" s="147"/>
      <c r="K305" s="147"/>
      <c r="L305" s="154"/>
      <c r="M305" s="135"/>
      <c r="N305" s="30"/>
      <c r="O305" s="76"/>
      <c r="P305" s="45"/>
    </row>
    <row r="306" spans="2:16" s="18" customFormat="1" ht="30" x14ac:dyDescent="0.25">
      <c r="B306" s="108" t="s">
        <v>660</v>
      </c>
      <c r="C306" s="217" t="s">
        <v>227</v>
      </c>
      <c r="D306" s="72">
        <f t="shared" si="59"/>
        <v>1</v>
      </c>
      <c r="E306" s="135"/>
      <c r="F306" s="135"/>
      <c r="G306" s="134">
        <v>1</v>
      </c>
      <c r="H306" s="135"/>
      <c r="I306" s="135"/>
      <c r="J306" s="135"/>
      <c r="K306" s="135"/>
      <c r="L306" s="135"/>
      <c r="M306" s="135"/>
      <c r="N306" s="30"/>
      <c r="O306" s="76"/>
      <c r="P306" s="44"/>
    </row>
    <row r="307" spans="2:16" s="18" customFormat="1" ht="45" x14ac:dyDescent="0.25">
      <c r="B307" s="108" t="s">
        <v>661</v>
      </c>
      <c r="C307" s="217" t="s">
        <v>228</v>
      </c>
      <c r="D307" s="72">
        <f>G307+M307</f>
        <v>0</v>
      </c>
      <c r="E307" s="146"/>
      <c r="F307" s="154"/>
      <c r="G307" s="135"/>
      <c r="H307" s="146"/>
      <c r="I307" s="147"/>
      <c r="J307" s="147"/>
      <c r="K307" s="147"/>
      <c r="L307" s="154"/>
      <c r="M307" s="135"/>
      <c r="N307" s="30"/>
      <c r="O307" s="79" t="str">
        <f>IF(((D307=0)),"   ","Нужно заполнить пункт 40 текстовой части - о главах, избранных на конкурсной основе и совмещающих функции председателя и главы местной администрации")</f>
        <v xml:space="preserve">   </v>
      </c>
      <c r="P307" s="44"/>
    </row>
    <row r="308" spans="2:16" s="18" customFormat="1" ht="30" x14ac:dyDescent="0.25">
      <c r="B308" s="108" t="s">
        <v>662</v>
      </c>
      <c r="C308" s="217" t="s">
        <v>220</v>
      </c>
      <c r="D308" s="72">
        <f>F308+G308</f>
        <v>0</v>
      </c>
      <c r="E308" s="133"/>
      <c r="F308" s="135"/>
      <c r="G308" s="135"/>
      <c r="H308" s="146"/>
      <c r="I308" s="147"/>
      <c r="J308" s="147"/>
      <c r="K308" s="147"/>
      <c r="L308" s="147"/>
      <c r="M308" s="147"/>
      <c r="N308" s="51" t="str">
        <f>IF((F308=F220)*AND(G308=G220),"Выполнено","ПРОВЕРИТЬ (несовпадение по числам поселений, где полномочия представительного органа должен осуществлять сход граждан)")</f>
        <v>Выполнено</v>
      </c>
      <c r="O308" s="79" t="str">
        <f>IF(((D308=0)),"   ","Нужно заполнить пункт 41 текстовой части - о главах, избранных на сходах")</f>
        <v xml:space="preserve">   </v>
      </c>
      <c r="P308" s="44"/>
    </row>
    <row r="309" spans="2:16" s="18" customFormat="1" ht="45" x14ac:dyDescent="0.25">
      <c r="B309" s="108" t="s">
        <v>663</v>
      </c>
      <c r="C309" s="217" t="s">
        <v>115</v>
      </c>
      <c r="D309" s="72">
        <f t="shared" si="59"/>
        <v>2</v>
      </c>
      <c r="E309" s="133">
        <f>SUM(E310:E318)</f>
        <v>0</v>
      </c>
      <c r="F309" s="133">
        <f t="shared" ref="F309:M309" si="65">SUM(F310:F318)</f>
        <v>0</v>
      </c>
      <c r="G309" s="133">
        <f t="shared" si="65"/>
        <v>2</v>
      </c>
      <c r="H309" s="133">
        <f>SUM(H310:H318)</f>
        <v>0</v>
      </c>
      <c r="I309" s="133">
        <f>SUM(I310:I318)</f>
        <v>0</v>
      </c>
      <c r="J309" s="133">
        <f>SUM(J310:J318)</f>
        <v>0</v>
      </c>
      <c r="K309" s="133">
        <f t="shared" si="65"/>
        <v>0</v>
      </c>
      <c r="L309" s="133">
        <f t="shared" si="65"/>
        <v>0</v>
      </c>
      <c r="M309" s="133">
        <f t="shared" si="65"/>
        <v>0</v>
      </c>
      <c r="N309" s="30"/>
      <c r="O309" s="79" t="str">
        <f>IF(((D309=0)),"   ","Нужно заполнить пункт 38 текстовой части - о способах избрания и полномочиях глав муниципальных образований")</f>
        <v>Нужно заполнить пункт 38 текстовой части - о способах избрания и полномочиях глав муниципальных образований</v>
      </c>
      <c r="P309" s="44"/>
    </row>
    <row r="310" spans="2:16" ht="30" x14ac:dyDescent="0.25">
      <c r="B310" s="108" t="s">
        <v>664</v>
      </c>
      <c r="C310" s="217" t="s">
        <v>96</v>
      </c>
      <c r="D310" s="72">
        <f t="shared" si="59"/>
        <v>0</v>
      </c>
      <c r="E310" s="135"/>
      <c r="F310" s="135"/>
      <c r="G310" s="135"/>
      <c r="H310" s="135"/>
      <c r="I310" s="135"/>
      <c r="J310" s="135"/>
      <c r="K310" s="135"/>
      <c r="L310" s="135"/>
      <c r="M310" s="135"/>
      <c r="N310" s="30"/>
      <c r="O310" s="79" t="str">
        <f>IF(((D310=0)),"   ","Нужно заполнить пункт 40 текстовой части - о главах, избранных на выборах и исполняющих обязанности председателей")</f>
        <v xml:space="preserve">   </v>
      </c>
      <c r="P310" s="45"/>
    </row>
    <row r="311" spans="2:16" ht="30" x14ac:dyDescent="0.25">
      <c r="B311" s="108" t="s">
        <v>665</v>
      </c>
      <c r="C311" s="217" t="s">
        <v>97</v>
      </c>
      <c r="D311" s="72">
        <f t="shared" si="59"/>
        <v>0</v>
      </c>
      <c r="E311" s="135"/>
      <c r="F311" s="135"/>
      <c r="G311" s="134"/>
      <c r="H311" s="135"/>
      <c r="I311" s="135"/>
      <c r="J311" s="135"/>
      <c r="K311" s="135"/>
      <c r="L311" s="135"/>
      <c r="M311" s="135"/>
      <c r="N311" s="30"/>
      <c r="O311" s="76"/>
      <c r="P311" s="44"/>
    </row>
    <row r="312" spans="2:16" ht="45" x14ac:dyDescent="0.25">
      <c r="B312" s="108" t="s">
        <v>666</v>
      </c>
      <c r="C312" s="217" t="s">
        <v>98</v>
      </c>
      <c r="D312" s="72">
        <f>G312+M312</f>
        <v>0</v>
      </c>
      <c r="E312" s="146"/>
      <c r="F312" s="154"/>
      <c r="G312" s="134"/>
      <c r="H312" s="146"/>
      <c r="I312" s="147"/>
      <c r="J312" s="147"/>
      <c r="K312" s="147"/>
      <c r="L312" s="154"/>
      <c r="M312" s="135"/>
      <c r="N312" s="30"/>
      <c r="O312" s="76"/>
      <c r="P312" s="44"/>
    </row>
    <row r="313" spans="2:16" ht="30" x14ac:dyDescent="0.25">
      <c r="B313" s="108" t="s">
        <v>667</v>
      </c>
      <c r="C313" s="217" t="s">
        <v>109</v>
      </c>
      <c r="D313" s="72">
        <f t="shared" si="59"/>
        <v>1</v>
      </c>
      <c r="E313" s="135"/>
      <c r="F313" s="135"/>
      <c r="G313" s="134">
        <v>1</v>
      </c>
      <c r="H313" s="135"/>
      <c r="I313" s="135"/>
      <c r="J313" s="135"/>
      <c r="K313" s="135"/>
      <c r="L313" s="135"/>
      <c r="M313" s="135"/>
      <c r="N313" s="30"/>
      <c r="O313" s="76"/>
      <c r="P313" s="45"/>
    </row>
    <row r="314" spans="2:16" s="16" customFormat="1" ht="30" x14ac:dyDescent="0.25">
      <c r="B314" s="108" t="s">
        <v>668</v>
      </c>
      <c r="C314" s="217" t="s">
        <v>110</v>
      </c>
      <c r="D314" s="72">
        <f t="shared" si="59"/>
        <v>0</v>
      </c>
      <c r="E314" s="135"/>
      <c r="F314" s="135"/>
      <c r="G314" s="135"/>
      <c r="H314" s="135"/>
      <c r="I314" s="135"/>
      <c r="J314" s="135"/>
      <c r="K314" s="135"/>
      <c r="L314" s="135"/>
      <c r="M314" s="135"/>
      <c r="N314" s="30"/>
      <c r="O314" s="79" t="str">
        <f>IF(((D314=0)),"   ","Нужно заполнить пункт 40 текстовой части - о главах, избранных из состава депутатов и возглавляющих местные администрации")</f>
        <v xml:space="preserve">   </v>
      </c>
      <c r="P314" s="44"/>
    </row>
    <row r="315" spans="2:16" ht="45" x14ac:dyDescent="0.25">
      <c r="B315" s="108" t="s">
        <v>669</v>
      </c>
      <c r="C315" s="217" t="s">
        <v>111</v>
      </c>
      <c r="D315" s="72">
        <f>G315+M315</f>
        <v>0</v>
      </c>
      <c r="E315" s="146"/>
      <c r="F315" s="154"/>
      <c r="G315" s="134"/>
      <c r="H315" s="146"/>
      <c r="I315" s="147"/>
      <c r="J315" s="147"/>
      <c r="K315" s="147"/>
      <c r="L315" s="154"/>
      <c r="M315" s="135"/>
      <c r="N315" s="30"/>
      <c r="O315" s="76"/>
      <c r="P315" s="44"/>
    </row>
    <row r="316" spans="2:16" ht="30" x14ac:dyDescent="0.25">
      <c r="B316" s="108" t="s">
        <v>670</v>
      </c>
      <c r="C316" s="217" t="s">
        <v>112</v>
      </c>
      <c r="D316" s="72">
        <f t="shared" si="59"/>
        <v>1</v>
      </c>
      <c r="E316" s="135"/>
      <c r="F316" s="135"/>
      <c r="G316" s="134">
        <v>1</v>
      </c>
      <c r="H316" s="135"/>
      <c r="I316" s="135"/>
      <c r="J316" s="135"/>
      <c r="K316" s="135"/>
      <c r="L316" s="135"/>
      <c r="M316" s="135"/>
      <c r="N316" s="30"/>
      <c r="O316" s="76"/>
      <c r="P316" s="44"/>
    </row>
    <row r="317" spans="2:16" ht="45" x14ac:dyDescent="0.25">
      <c r="B317" s="108" t="s">
        <v>671</v>
      </c>
      <c r="C317" s="217" t="s">
        <v>113</v>
      </c>
      <c r="D317" s="72">
        <f>G317+M317</f>
        <v>0</v>
      </c>
      <c r="E317" s="146"/>
      <c r="F317" s="154"/>
      <c r="G317" s="135"/>
      <c r="H317" s="146"/>
      <c r="I317" s="147"/>
      <c r="J317" s="147"/>
      <c r="K317" s="147"/>
      <c r="L317" s="154"/>
      <c r="M317" s="135"/>
      <c r="N317" s="30"/>
      <c r="O317" s="79" t="str">
        <f>IF(((D317=0)),"   ","Нужно заполнить пункт 40 текстовой части - о главах, избранных на конкурсной основе и совмещающих функции председателя и главы местной администрации")</f>
        <v xml:space="preserve">   </v>
      </c>
      <c r="P317" s="44"/>
    </row>
    <row r="318" spans="2:16" ht="30" x14ac:dyDescent="0.25">
      <c r="B318" s="108" t="s">
        <v>672</v>
      </c>
      <c r="C318" s="217" t="s">
        <v>114</v>
      </c>
      <c r="D318" s="72">
        <f>F318+G318</f>
        <v>0</v>
      </c>
      <c r="E318" s="133"/>
      <c r="F318" s="135"/>
      <c r="G318" s="135"/>
      <c r="H318" s="146"/>
      <c r="I318" s="147"/>
      <c r="J318" s="147"/>
      <c r="K318" s="147"/>
      <c r="L318" s="147"/>
      <c r="M318" s="147"/>
      <c r="N318" s="30"/>
      <c r="O318" s="79" t="str">
        <f>IF(((D318=0)),"   ","Нужно заполнить пункт 41 текстовой части - о главах, избранных на сходах")</f>
        <v xml:space="preserve">   </v>
      </c>
      <c r="P318" s="44"/>
    </row>
    <row r="319" spans="2:16" ht="30" x14ac:dyDescent="0.25">
      <c r="B319" s="107" t="s">
        <v>464</v>
      </c>
      <c r="C319" s="216" t="s">
        <v>530</v>
      </c>
      <c r="D319" s="72">
        <f t="shared" ref="D319:D333" si="66">SUM(E319:I319)+SUM(K319:M319)</f>
        <v>1</v>
      </c>
      <c r="E319" s="133">
        <f t="shared" ref="E319:M319" si="67">E320+E322</f>
        <v>0</v>
      </c>
      <c r="F319" s="133">
        <f t="shared" si="67"/>
        <v>0</v>
      </c>
      <c r="G319" s="133">
        <v>1</v>
      </c>
      <c r="H319" s="133">
        <f t="shared" si="67"/>
        <v>0</v>
      </c>
      <c r="I319" s="133">
        <f t="shared" si="67"/>
        <v>0</v>
      </c>
      <c r="J319" s="133">
        <f t="shared" si="67"/>
        <v>0</v>
      </c>
      <c r="K319" s="133">
        <f t="shared" si="67"/>
        <v>0</v>
      </c>
      <c r="L319" s="133">
        <f t="shared" si="67"/>
        <v>0</v>
      </c>
      <c r="M319" s="133">
        <f t="shared" si="67"/>
        <v>0</v>
      </c>
      <c r="N319" s="37" t="str">
        <f>IF((D319=D309)*AND(E319=E309)*AND(F319=F309)*AND(G319=G309)*AND(H319=H309)*AND(I319=I309)*AND(K319=K309)*AND(L319=L309)*AND(M319=M309)*AND(J319=J309),"Выполнено","ПРОВЕРИТЬ - по количеству действующих глав муниципальных образований)")</f>
        <v>ПРОВЕРИТЬ - по количеству действующих глав муниципальных образований)</v>
      </c>
      <c r="O319" s="76"/>
      <c r="P319" s="44"/>
    </row>
    <row r="320" spans="2:16" x14ac:dyDescent="0.25">
      <c r="B320" s="107" t="s">
        <v>342</v>
      </c>
      <c r="C320" s="216" t="s">
        <v>1387</v>
      </c>
      <c r="D320" s="72">
        <f t="shared" si="66"/>
        <v>0</v>
      </c>
      <c r="E320" s="134"/>
      <c r="F320" s="134"/>
      <c r="G320" s="134"/>
      <c r="H320" s="134"/>
      <c r="I320" s="134"/>
      <c r="J320" s="134"/>
      <c r="K320" s="134"/>
      <c r="L320" s="134"/>
      <c r="M320" s="134"/>
      <c r="N320" s="75"/>
      <c r="O320" s="75"/>
      <c r="P320" s="44"/>
    </row>
    <row r="321" spans="2:16" s="73" customFormat="1" x14ac:dyDescent="0.25">
      <c r="B321" s="107" t="s">
        <v>343</v>
      </c>
      <c r="C321" s="216" t="s">
        <v>1388</v>
      </c>
      <c r="D321" s="72">
        <f>SUM(E321:I321)+SUM(K321:M321)</f>
        <v>1</v>
      </c>
      <c r="E321" s="134"/>
      <c r="F321" s="134"/>
      <c r="G321" s="134">
        <v>1</v>
      </c>
      <c r="H321" s="134"/>
      <c r="I321" s="134"/>
      <c r="J321" s="134"/>
      <c r="K321" s="134"/>
      <c r="L321" s="134"/>
      <c r="M321" s="134"/>
      <c r="N321" s="75"/>
      <c r="O321" s="75"/>
      <c r="P321" s="77"/>
    </row>
    <row r="322" spans="2:16" s="73" customFormat="1" x14ac:dyDescent="0.25">
      <c r="B322" s="107" t="s">
        <v>1390</v>
      </c>
      <c r="C322" s="216" t="s">
        <v>1150</v>
      </c>
      <c r="D322" s="72">
        <f t="shared" si="66"/>
        <v>0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75"/>
      <c r="O322" s="75"/>
      <c r="P322" s="77"/>
    </row>
    <row r="323" spans="2:16" s="73" customFormat="1" ht="30" x14ac:dyDescent="0.25">
      <c r="B323" s="119" t="s">
        <v>1053</v>
      </c>
      <c r="C323" s="222" t="s">
        <v>1052</v>
      </c>
      <c r="D323" s="72">
        <f t="shared" si="66"/>
        <v>1</v>
      </c>
      <c r="E323" s="133">
        <f>SUM(E324:E328)</f>
        <v>0</v>
      </c>
      <c r="F323" s="133">
        <f t="shared" ref="F323:M323" si="68">SUM(F324:F328)</f>
        <v>0</v>
      </c>
      <c r="G323" s="133">
        <f t="shared" si="68"/>
        <v>1</v>
      </c>
      <c r="H323" s="133">
        <f t="shared" si="68"/>
        <v>0</v>
      </c>
      <c r="I323" s="133">
        <f t="shared" si="68"/>
        <v>0</v>
      </c>
      <c r="J323" s="133">
        <f>SUM(J324:J328)</f>
        <v>0</v>
      </c>
      <c r="K323" s="133">
        <f t="shared" si="68"/>
        <v>0</v>
      </c>
      <c r="L323" s="133">
        <f t="shared" si="68"/>
        <v>0</v>
      </c>
      <c r="M323" s="133">
        <f t="shared" si="68"/>
        <v>0</v>
      </c>
      <c r="N323" s="37" t="str">
        <f>IF((D323=D309)*AND(E323=E309)*AND(F323=F309)*AND(G323=G309)*AND(H323=H309)*AND(I323=I309)*AND(K323=K309)*AND(L323=L309)*AND(M323=M309)*AND(J323=J309),"Выполнено","ПРОВЕРИТЬ - по количеству действующих глав муниципальных образований)")</f>
        <v>ПРОВЕРИТЬ - по количеству действующих глав муниципальных образований)</v>
      </c>
      <c r="O323" s="75"/>
      <c r="P323" s="77"/>
    </row>
    <row r="324" spans="2:16" s="73" customFormat="1" x14ac:dyDescent="0.25">
      <c r="B324" s="119" t="s">
        <v>465</v>
      </c>
      <c r="C324" s="222" t="s">
        <v>531</v>
      </c>
      <c r="D324" s="72">
        <f t="shared" si="66"/>
        <v>1</v>
      </c>
      <c r="E324" s="134"/>
      <c r="F324" s="134"/>
      <c r="G324" s="134">
        <v>1</v>
      </c>
      <c r="H324" s="134"/>
      <c r="I324" s="134"/>
      <c r="J324" s="134"/>
      <c r="K324" s="134"/>
      <c r="L324" s="134"/>
      <c r="M324" s="134"/>
      <c r="N324" s="75"/>
      <c r="O324" s="75"/>
      <c r="P324" s="77"/>
    </row>
    <row r="325" spans="2:16" s="73" customFormat="1" x14ac:dyDescent="0.25">
      <c r="B325" s="119" t="s">
        <v>466</v>
      </c>
      <c r="C325" s="222" t="s">
        <v>562</v>
      </c>
      <c r="D325" s="72">
        <f t="shared" si="66"/>
        <v>0</v>
      </c>
      <c r="E325" s="134"/>
      <c r="F325" s="134"/>
      <c r="G325" s="134"/>
      <c r="H325" s="134"/>
      <c r="I325" s="134"/>
      <c r="J325" s="134"/>
      <c r="K325" s="134"/>
      <c r="L325" s="134"/>
      <c r="M325" s="134"/>
      <c r="N325" s="75"/>
      <c r="O325" s="75"/>
      <c r="P325" s="77"/>
    </row>
    <row r="326" spans="2:16" s="73" customFormat="1" x14ac:dyDescent="0.25">
      <c r="B326" s="107" t="s">
        <v>467</v>
      </c>
      <c r="C326" s="222" t="s">
        <v>563</v>
      </c>
      <c r="D326" s="72">
        <f t="shared" si="66"/>
        <v>0</v>
      </c>
      <c r="E326" s="134"/>
      <c r="F326" s="134"/>
      <c r="G326" s="134"/>
      <c r="H326" s="134"/>
      <c r="I326" s="134"/>
      <c r="J326" s="134"/>
      <c r="K326" s="134"/>
      <c r="L326" s="134"/>
      <c r="M326" s="134"/>
      <c r="N326" s="75"/>
      <c r="O326" s="75"/>
      <c r="P326" s="77"/>
    </row>
    <row r="327" spans="2:16" s="73" customFormat="1" x14ac:dyDescent="0.25">
      <c r="B327" s="107" t="s">
        <v>468</v>
      </c>
      <c r="C327" s="222" t="s">
        <v>564</v>
      </c>
      <c r="D327" s="72">
        <f t="shared" si="66"/>
        <v>0</v>
      </c>
      <c r="E327" s="134"/>
      <c r="F327" s="134"/>
      <c r="G327" s="134"/>
      <c r="H327" s="134"/>
      <c r="I327" s="134"/>
      <c r="J327" s="134"/>
      <c r="K327" s="134"/>
      <c r="L327" s="134"/>
      <c r="M327" s="134"/>
      <c r="N327" s="75"/>
      <c r="O327" s="75"/>
      <c r="P327" s="77"/>
    </row>
    <row r="328" spans="2:16" s="73" customFormat="1" x14ac:dyDescent="0.25">
      <c r="B328" s="107" t="s">
        <v>1054</v>
      </c>
      <c r="C328" s="222" t="s">
        <v>565</v>
      </c>
      <c r="D328" s="72">
        <f t="shared" si="66"/>
        <v>0</v>
      </c>
      <c r="E328" s="134"/>
      <c r="F328" s="134"/>
      <c r="G328" s="134"/>
      <c r="H328" s="134"/>
      <c r="I328" s="134"/>
      <c r="J328" s="134"/>
      <c r="K328" s="134"/>
      <c r="L328" s="134"/>
      <c r="M328" s="134"/>
      <c r="N328" s="75"/>
      <c r="O328" s="75"/>
      <c r="P328" s="77"/>
    </row>
    <row r="329" spans="2:16" s="73" customFormat="1" ht="30" x14ac:dyDescent="0.25">
      <c r="B329" s="109" t="s">
        <v>548</v>
      </c>
      <c r="C329" s="222" t="s">
        <v>99</v>
      </c>
      <c r="D329" s="72">
        <f t="shared" si="66"/>
        <v>1</v>
      </c>
      <c r="E329" s="133">
        <f t="shared" ref="E329:M329" si="69">E330+E331</f>
        <v>0</v>
      </c>
      <c r="F329" s="133">
        <f t="shared" si="69"/>
        <v>0</v>
      </c>
      <c r="G329" s="133">
        <f t="shared" si="69"/>
        <v>1</v>
      </c>
      <c r="H329" s="133">
        <f t="shared" si="69"/>
        <v>0</v>
      </c>
      <c r="I329" s="133">
        <f t="shared" si="69"/>
        <v>0</v>
      </c>
      <c r="J329" s="133">
        <f t="shared" si="69"/>
        <v>0</v>
      </c>
      <c r="K329" s="133">
        <f t="shared" si="69"/>
        <v>0</v>
      </c>
      <c r="L329" s="133">
        <f t="shared" si="69"/>
        <v>0</v>
      </c>
      <c r="M329" s="133">
        <f t="shared" si="69"/>
        <v>0</v>
      </c>
      <c r="N329" s="94" t="str">
        <f>IF((D329=D309)*AND(E329=E309)*AND(F329=F309)*AND(G329=G309)*AND(H329=H309)*AND(I329=I309)*AND(K329=K309)*AND(L329=L309)*AND(M329=M309)*AND(J329=J309),"Выполнено","ПРОВЕРИТЬ (в сумме должно получаться общее количество глав)")</f>
        <v>ПРОВЕРИТЬ (в сумме должно получаться общее количество глав)</v>
      </c>
      <c r="O329" s="76"/>
      <c r="P329" s="77"/>
    </row>
    <row r="330" spans="2:16" s="73" customFormat="1" x14ac:dyDescent="0.25">
      <c r="B330" s="109" t="s">
        <v>469</v>
      </c>
      <c r="C330" s="222" t="s">
        <v>100</v>
      </c>
      <c r="D330" s="72">
        <f t="shared" si="66"/>
        <v>0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30"/>
      <c r="O330" s="76"/>
      <c r="P330" s="77"/>
    </row>
    <row r="331" spans="2:16" s="73" customFormat="1" x14ac:dyDescent="0.25">
      <c r="B331" s="108" t="s">
        <v>1055</v>
      </c>
      <c r="C331" s="217" t="s">
        <v>101</v>
      </c>
      <c r="D331" s="72">
        <f t="shared" si="66"/>
        <v>1</v>
      </c>
      <c r="E331" s="135"/>
      <c r="F331" s="135"/>
      <c r="G331" s="134">
        <v>1</v>
      </c>
      <c r="H331" s="135"/>
      <c r="I331" s="135"/>
      <c r="J331" s="135"/>
      <c r="K331" s="135"/>
      <c r="L331" s="135"/>
      <c r="M331" s="135"/>
      <c r="N331" s="30"/>
      <c r="O331" s="79" t="str">
        <f>IF(((D331-G331=0)),"   ","Нужно заполнить пункт 43 текстовой части - о главах, работающих на непостоянной основе")</f>
        <v xml:space="preserve">   </v>
      </c>
      <c r="P331" s="77"/>
    </row>
    <row r="332" spans="2:16" s="73" customFormat="1" ht="45" x14ac:dyDescent="0.25">
      <c r="B332" s="109" t="s">
        <v>673</v>
      </c>
      <c r="C332" s="222" t="s">
        <v>181</v>
      </c>
      <c r="D332" s="146"/>
      <c r="E332" s="147"/>
      <c r="F332" s="147"/>
      <c r="G332" s="147"/>
      <c r="H332" s="147"/>
      <c r="I332" s="147"/>
      <c r="J332" s="147"/>
      <c r="K332" s="147"/>
      <c r="L332" s="147"/>
      <c r="M332" s="147"/>
      <c r="N332" s="29"/>
      <c r="O332" s="29"/>
      <c r="P332" s="77"/>
    </row>
    <row r="333" spans="2:16" s="73" customFormat="1" x14ac:dyDescent="0.25">
      <c r="B333" s="107" t="s">
        <v>549</v>
      </c>
      <c r="C333" s="216" t="s">
        <v>102</v>
      </c>
      <c r="D333" s="72">
        <f t="shared" si="66"/>
        <v>0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37" t="str">
        <f>IF((D333&lt;=(D313+D314+D315))*AND(E333&lt;=(E313+E314))*AND(F333&lt;=(F313+F314))*AND(G333&lt;=(G313+G314+G315))*AND(H333&lt;=(H313+H314))*AND(I333&lt;=(I313+I314))*AND(K333&lt;=(K313+K314))*AND(L333&lt;=(L313+L314))*AND(M333&lt;=(M313+M314+M315))*AND(J333&lt;=(J313+J314)),"Выполнено","ПРОВЕРИТЬ (такое совмещение допустимо только для глав, избранных представительными органами из своего состава)")</f>
        <v>Выполнено</v>
      </c>
      <c r="O333" s="76"/>
      <c r="P333" s="77"/>
    </row>
    <row r="334" spans="2:16" s="73" customFormat="1" ht="45" x14ac:dyDescent="0.25">
      <c r="B334" s="109" t="s">
        <v>1056</v>
      </c>
      <c r="C334" s="222" t="s">
        <v>103</v>
      </c>
      <c r="D334" s="72">
        <f>E334+K334</f>
        <v>0</v>
      </c>
      <c r="E334" s="134"/>
      <c r="F334" s="146"/>
      <c r="G334" s="147"/>
      <c r="H334" s="147"/>
      <c r="I334" s="147"/>
      <c r="J334" s="154"/>
      <c r="K334" s="134"/>
      <c r="L334" s="146"/>
      <c r="M334" s="154"/>
      <c r="N334" s="79" t="str">
        <f>IF((E334&lt;=(E271+E272))*AND(K334&lt;=K273)*AND(E334&lt;=E333)*AND(K334&lt;=K333),"Выполнено","ПРОВЕРИТЬ (такое совмещение может быть следствием одновременного применения системы делегирования и избрания главы из состава депутатов)")</f>
        <v>Выполнено</v>
      </c>
      <c r="O334" s="76"/>
      <c r="P334" s="77"/>
    </row>
    <row r="335" spans="2:16" s="73" customFormat="1" ht="45" x14ac:dyDescent="0.25">
      <c r="B335" s="109" t="s">
        <v>1057</v>
      </c>
      <c r="C335" s="222" t="s">
        <v>104</v>
      </c>
      <c r="D335" s="72">
        <f>F335+G335+L335</f>
        <v>0</v>
      </c>
      <c r="E335" s="133"/>
      <c r="F335" s="134"/>
      <c r="G335" s="134"/>
      <c r="H335" s="147"/>
      <c r="I335" s="147"/>
      <c r="J335" s="147"/>
      <c r="K335" s="147"/>
      <c r="L335" s="134"/>
      <c r="M335" s="147"/>
      <c r="N335" s="51" t="str">
        <f>IF((F335&lt;=E271)*AND(G335&lt;=E272)*AND(L335&lt;=K273),"Выполнено","ПРОВЕРИТЬ (такое совмещение может быть следствием применения системы делегирования)")</f>
        <v>Выполнено</v>
      </c>
      <c r="O335" s="76"/>
      <c r="P335" s="77"/>
    </row>
    <row r="336" spans="2:16" ht="30" x14ac:dyDescent="0.25">
      <c r="B336" s="108" t="s">
        <v>1058</v>
      </c>
      <c r="C336" s="217" t="s">
        <v>105</v>
      </c>
      <c r="D336" s="133">
        <f t="shared" ref="D336" si="70">SUM(D337:D339)</f>
        <v>0</v>
      </c>
      <c r="E336" s="151"/>
      <c r="F336" s="139"/>
      <c r="G336" s="139"/>
      <c r="H336" s="139"/>
      <c r="I336" s="139"/>
      <c r="J336" s="139"/>
      <c r="K336" s="139"/>
      <c r="L336" s="139"/>
      <c r="M336" s="139"/>
      <c r="N336" s="30"/>
      <c r="O336" s="79" t="str">
        <f>IF(((D336=0)),"   ","Нужно заполнить пункт 44 текстовой части - о главах, совмещающих работу в двух муниципальных образованиях")</f>
        <v xml:space="preserve">   </v>
      </c>
      <c r="P336" s="42"/>
    </row>
    <row r="337" spans="2:16" x14ac:dyDescent="0.25">
      <c r="B337" s="108" t="s">
        <v>1059</v>
      </c>
      <c r="C337" s="217" t="s">
        <v>106</v>
      </c>
      <c r="D337" s="22"/>
      <c r="E337" s="150"/>
      <c r="F337" s="151"/>
      <c r="G337" s="151"/>
      <c r="H337" s="151"/>
      <c r="I337" s="151"/>
      <c r="J337" s="151"/>
      <c r="K337" s="151"/>
      <c r="L337" s="151"/>
      <c r="M337" s="151"/>
      <c r="N337" s="37" t="str">
        <f>IF((D337&lt;=(E313+E314))*AND(D337&lt;=D271),"Выполнено","ПРОВЕРИТЬ (такое совмещение допустимо только для глав муниципальных районов, избранных представительными органами из своего состава и возможно как одно из следствий применения системы делегирования)")</f>
        <v>Выполнено</v>
      </c>
      <c r="O337" s="76"/>
      <c r="P337" s="44"/>
    </row>
    <row r="338" spans="2:16" x14ac:dyDescent="0.25">
      <c r="B338" s="108" t="s">
        <v>1060</v>
      </c>
      <c r="C338" s="217" t="s">
        <v>107</v>
      </c>
      <c r="D338" s="22"/>
      <c r="E338" s="150"/>
      <c r="F338" s="151"/>
      <c r="G338" s="151"/>
      <c r="H338" s="151"/>
      <c r="I338" s="151"/>
      <c r="J338" s="151"/>
      <c r="K338" s="151"/>
      <c r="L338" s="151"/>
      <c r="M338" s="151"/>
      <c r="N338" s="37" t="str">
        <f>IF((D338&lt;=(E313+E314))*AND(D338&lt;=D272),"Выполнено","ПРОВЕРИТЬ (такое совмещение допустимо только для глав муниципальных районов, избранных представительными органами из своего состава и возможно как одно из следствий применения системы делегирования)")</f>
        <v>Выполнено</v>
      </c>
      <c r="O338" s="76"/>
      <c r="P338" s="44"/>
    </row>
    <row r="339" spans="2:16" s="21" customFormat="1" ht="30" x14ac:dyDescent="0.25">
      <c r="B339" s="108" t="s">
        <v>1061</v>
      </c>
      <c r="C339" s="217" t="s">
        <v>108</v>
      </c>
      <c r="D339" s="22"/>
      <c r="E339" s="142"/>
      <c r="F339" s="143"/>
      <c r="G339" s="143"/>
      <c r="H339" s="143"/>
      <c r="I339" s="143"/>
      <c r="J339" s="143"/>
      <c r="K339" s="143"/>
      <c r="L339" s="143"/>
      <c r="M339" s="143"/>
      <c r="N339" s="37" t="str">
        <f>IF((D339&lt;=(K313+K314))*AND(D339&lt;=D273),"Выполнено","ПРОВЕРИТЬ (такое совмещение допустимо только для глав городских округов с делением, избранных представительными органами из своего состава и возможно как одно из следствий применения системы делегирования)")</f>
        <v>Выполнено</v>
      </c>
      <c r="O339" s="76"/>
      <c r="P339" s="44"/>
    </row>
    <row r="340" spans="2:16" s="21" customFormat="1" ht="45" x14ac:dyDescent="0.25">
      <c r="B340" s="109" t="s">
        <v>1062</v>
      </c>
      <c r="C340" s="222" t="s">
        <v>949</v>
      </c>
      <c r="D340" s="72">
        <f>D309-D336</f>
        <v>2</v>
      </c>
      <c r="E340" s="146"/>
      <c r="F340" s="147"/>
      <c r="G340" s="147"/>
      <c r="H340" s="147"/>
      <c r="I340" s="147"/>
      <c r="J340" s="147"/>
      <c r="K340" s="147"/>
      <c r="L340" s="147"/>
      <c r="M340" s="147"/>
      <c r="N340" s="33"/>
      <c r="O340" s="34"/>
      <c r="P340" s="44"/>
    </row>
    <row r="341" spans="2:16" s="21" customFormat="1" ht="30" x14ac:dyDescent="0.25">
      <c r="B341" s="108" t="s">
        <v>1063</v>
      </c>
      <c r="C341" s="217" t="s">
        <v>298</v>
      </c>
      <c r="D341" s="72">
        <f t="shared" ref="D341:D345" si="71">SUM(E341:I341)+SUM(K341:M341)</f>
        <v>0</v>
      </c>
      <c r="E341" s="53"/>
      <c r="F341" s="53"/>
      <c r="G341" s="53"/>
      <c r="H341" s="135"/>
      <c r="I341" s="135"/>
      <c r="J341" s="135"/>
      <c r="K341" s="135"/>
      <c r="L341" s="135"/>
      <c r="M341" s="135"/>
      <c r="N341" s="37" t="str">
        <f>IF((D341&lt;=D$309)*(E341&lt;=E$309)*AND(F341&lt;=F$309)*AND(G341&lt;=G$309)*AND(H341&lt;=H$309)*AND(I341&lt;=I$309)*AND(K341&lt;=K$309)*AND(L341&lt;=L$309)*AND(M341&lt;=M$309)*AND(J341&lt;=J$309),"Выполнено","ПРОВЕРИТЬ (таких глав муниципальных образований не может быть больше их общего числа)")</f>
        <v>Выполнено</v>
      </c>
      <c r="O341" s="79" t="str">
        <f>IF(((D341-G341=0)),"   ","Нужно заполнить пункт 55 текстовой части - о главах, временно отстраненных от должности")</f>
        <v xml:space="preserve">   </v>
      </c>
      <c r="P341" s="44"/>
    </row>
    <row r="342" spans="2:16" s="21" customFormat="1" ht="30" x14ac:dyDescent="0.25">
      <c r="B342" s="107" t="s">
        <v>1064</v>
      </c>
      <c r="C342" s="216" t="s">
        <v>195</v>
      </c>
      <c r="D342" s="72">
        <f t="shared" si="71"/>
        <v>0</v>
      </c>
      <c r="E342" s="133">
        <f t="shared" ref="E342:M342" si="72">E343+E344</f>
        <v>0</v>
      </c>
      <c r="F342" s="133">
        <f t="shared" si="72"/>
        <v>0</v>
      </c>
      <c r="G342" s="133">
        <f t="shared" si="72"/>
        <v>0</v>
      </c>
      <c r="H342" s="133">
        <f t="shared" si="72"/>
        <v>0</v>
      </c>
      <c r="I342" s="133">
        <f t="shared" si="72"/>
        <v>0</v>
      </c>
      <c r="J342" s="133">
        <f t="shared" si="72"/>
        <v>0</v>
      </c>
      <c r="K342" s="133">
        <f t="shared" si="72"/>
        <v>0</v>
      </c>
      <c r="L342" s="133">
        <f t="shared" si="72"/>
        <v>0</v>
      </c>
      <c r="M342" s="133">
        <f t="shared" si="72"/>
        <v>0</v>
      </c>
      <c r="N342" s="30"/>
      <c r="O342" s="76"/>
      <c r="P342" s="44"/>
    </row>
    <row r="343" spans="2:16" ht="30" x14ac:dyDescent="0.25">
      <c r="B343" s="108" t="s">
        <v>1065</v>
      </c>
      <c r="C343" s="217" t="s">
        <v>196</v>
      </c>
      <c r="D343" s="72">
        <f t="shared" si="71"/>
        <v>0</v>
      </c>
      <c r="E343" s="53"/>
      <c r="F343" s="53"/>
      <c r="G343" s="53"/>
      <c r="H343" s="135"/>
      <c r="I343" s="135"/>
      <c r="J343" s="135"/>
      <c r="K343" s="135"/>
      <c r="L343" s="135"/>
      <c r="M343" s="135"/>
      <c r="N343" s="37" t="str">
        <f>IF((D343&lt;=D$10)*AND(E343&lt;=E$10)*AND(F343&lt;=F$10)*AND(G343&lt;=G$10)*AND(H343&lt;=H$10)*AND(I343&lt;=I$10)*AND(K343&lt;=K$10)*AND(L343&lt;=L$10)*AND(M343&lt;=M$10)*AND(J343&lt;=J$10),"Выполнено","ПРОВЕРИТЬ (таких муниципальных образований не может быть больше их общего числа)")</f>
        <v>Выполнено</v>
      </c>
      <c r="O343" s="79" t="str">
        <f>IF(((D343=0)),"   ","Нужно заполнить пункт 45 текстовой части - о муниципалитетах без действующих глав")</f>
        <v xml:space="preserve">   </v>
      </c>
      <c r="P343" s="44"/>
    </row>
    <row r="344" spans="2:16" ht="45" x14ac:dyDescent="0.25">
      <c r="B344" s="108" t="s">
        <v>1066</v>
      </c>
      <c r="C344" s="217" t="s">
        <v>296</v>
      </c>
      <c r="D344" s="72">
        <f t="shared" si="71"/>
        <v>0</v>
      </c>
      <c r="E344" s="135"/>
      <c r="F344" s="135"/>
      <c r="G344" s="135"/>
      <c r="H344" s="135"/>
      <c r="I344" s="135"/>
      <c r="J344" s="135"/>
      <c r="K344" s="135"/>
      <c r="L344" s="135"/>
      <c r="M344" s="135"/>
      <c r="N344" s="76"/>
      <c r="O344" s="79" t="str">
        <f>IF(((D344=0)),"   ","Нужно заполнить пункт 46 текстовой части - о главах муниципалитетов, находящихся в процессе преобразования")</f>
        <v xml:space="preserve">   </v>
      </c>
      <c r="P344" s="44"/>
    </row>
    <row r="345" spans="2:16" s="21" customFormat="1" ht="45" x14ac:dyDescent="0.25">
      <c r="B345" s="108" t="s">
        <v>1067</v>
      </c>
      <c r="C345" s="217" t="s">
        <v>297</v>
      </c>
      <c r="D345" s="72">
        <f t="shared" si="71"/>
        <v>0</v>
      </c>
      <c r="E345" s="135"/>
      <c r="F345" s="135"/>
      <c r="G345" s="135"/>
      <c r="H345" s="135"/>
      <c r="I345" s="135"/>
      <c r="J345" s="135"/>
      <c r="K345" s="135"/>
      <c r="L345" s="135"/>
      <c r="M345" s="135"/>
      <c r="N345" s="76"/>
      <c r="O345" s="79" t="str">
        <f>IF(((D345=0)),"   ","Нужно заполнить пункт 46 текстовой части - о главах муниципалитетов, находящихся в процессе преобразования")</f>
        <v xml:space="preserve">   </v>
      </c>
      <c r="P345" s="44"/>
    </row>
    <row r="346" spans="2:16" s="73" customFormat="1" ht="30" x14ac:dyDescent="0.25">
      <c r="B346" s="107" t="s">
        <v>1348</v>
      </c>
      <c r="C346" s="216" t="s">
        <v>1350</v>
      </c>
      <c r="D346" s="72">
        <f t="shared" ref="D346:D347" si="73">SUM(E346:I346)+SUM(K346:M346)</f>
        <v>0</v>
      </c>
      <c r="E346" s="52"/>
      <c r="F346" s="52"/>
      <c r="G346" s="52"/>
      <c r="H346" s="52"/>
      <c r="I346" s="52"/>
      <c r="J346" s="52"/>
      <c r="K346" s="136"/>
      <c r="L346" s="136"/>
      <c r="M346" s="136"/>
      <c r="N346" s="37"/>
      <c r="O346" s="76"/>
      <c r="P346" s="42"/>
    </row>
    <row r="347" spans="2:16" s="73" customFormat="1" ht="30" x14ac:dyDescent="0.25">
      <c r="B347" s="107" t="s">
        <v>1349</v>
      </c>
      <c r="C347" s="216" t="s">
        <v>1351</v>
      </c>
      <c r="D347" s="72">
        <f t="shared" si="73"/>
        <v>0</v>
      </c>
      <c r="E347" s="52"/>
      <c r="F347" s="52"/>
      <c r="G347" s="52"/>
      <c r="H347" s="52"/>
      <c r="I347" s="52"/>
      <c r="J347" s="52"/>
      <c r="K347" s="136"/>
      <c r="L347" s="136"/>
      <c r="M347" s="136"/>
      <c r="N347" s="37"/>
      <c r="O347" s="76"/>
      <c r="P347" s="42"/>
    </row>
    <row r="348" spans="2:16" s="21" customFormat="1" x14ac:dyDescent="0.25">
      <c r="B348" s="112" t="s">
        <v>345</v>
      </c>
      <c r="C348" s="223" t="s">
        <v>5</v>
      </c>
      <c r="D348" s="55"/>
      <c r="E348" s="56"/>
      <c r="F348" s="56"/>
      <c r="G348" s="56"/>
      <c r="H348" s="56"/>
      <c r="I348" s="56"/>
      <c r="J348" s="56"/>
      <c r="K348" s="56"/>
      <c r="L348" s="56"/>
      <c r="M348" s="56"/>
      <c r="N348" s="33"/>
      <c r="O348" s="74"/>
      <c r="P348" s="77"/>
    </row>
    <row r="349" spans="2:16" s="21" customFormat="1" ht="75" x14ac:dyDescent="0.25">
      <c r="B349" s="107" t="s">
        <v>346</v>
      </c>
      <c r="C349" s="216" t="s">
        <v>1007</v>
      </c>
      <c r="D349" s="87">
        <f>F349+G349+M349</f>
        <v>0</v>
      </c>
      <c r="E349" s="89"/>
      <c r="F349" s="87">
        <f>F350</f>
        <v>0</v>
      </c>
      <c r="G349" s="87">
        <f>G350</f>
        <v>0</v>
      </c>
      <c r="H349" s="95"/>
      <c r="I349" s="95"/>
      <c r="J349" s="90"/>
      <c r="K349" s="90"/>
      <c r="L349" s="96"/>
      <c r="M349" s="87">
        <f>M351</f>
        <v>0</v>
      </c>
      <c r="N349" s="30"/>
      <c r="O349" s="76"/>
      <c r="P349" s="44"/>
    </row>
    <row r="350" spans="2:16" s="21" customFormat="1" ht="75" x14ac:dyDescent="0.25">
      <c r="B350" s="108" t="s">
        <v>674</v>
      </c>
      <c r="C350" s="217" t="s">
        <v>1008</v>
      </c>
      <c r="D350" s="87">
        <f>F350+G350</f>
        <v>0</v>
      </c>
      <c r="E350" s="88"/>
      <c r="F350" s="97"/>
      <c r="G350" s="97"/>
      <c r="H350" s="90"/>
      <c r="I350" s="90"/>
      <c r="J350" s="90"/>
      <c r="K350" s="90"/>
      <c r="L350" s="98"/>
      <c r="M350" s="87"/>
      <c r="N350" s="37" t="str">
        <f>IF((D350&lt;=E$10),"Выполнено","ПРОВЕРИТЬ (таких случаев возложения не может быть больше чем муниципальных районов)")</f>
        <v>Выполнено</v>
      </c>
      <c r="O350" s="79" t="str">
        <f>IF(((D350=0)),"   ","Нужно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администрации")</f>
        <v xml:space="preserve">   </v>
      </c>
      <c r="P350" s="44"/>
    </row>
    <row r="351" spans="2:16" s="73" customFormat="1" ht="60" x14ac:dyDescent="0.25">
      <c r="B351" s="108" t="s">
        <v>675</v>
      </c>
      <c r="C351" s="217" t="s">
        <v>951</v>
      </c>
      <c r="D351" s="87">
        <f>M351</f>
        <v>0</v>
      </c>
      <c r="E351" s="99"/>
      <c r="F351" s="100"/>
      <c r="G351" s="101"/>
      <c r="H351" s="102"/>
      <c r="I351" s="102"/>
      <c r="J351" s="102"/>
      <c r="K351" s="102"/>
      <c r="L351" s="103"/>
      <c r="M351" s="97"/>
      <c r="N351" s="86" t="str">
        <f>IF((M351&lt;=M$10),"Выполнено","ПРОВЕРИТЬ (таких муниципальных образований не может быть больше общего их числа)")</f>
        <v>Выполнено</v>
      </c>
      <c r="O351" s="79" t="str">
        <f>IF(((D351=0)),"   ","Нужно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администрации")</f>
        <v xml:space="preserve">   </v>
      </c>
      <c r="P351" s="77"/>
    </row>
    <row r="352" spans="2:16" s="73" customFormat="1" ht="45" x14ac:dyDescent="0.25">
      <c r="B352" s="107" t="s">
        <v>955</v>
      </c>
      <c r="C352" s="216" t="s">
        <v>952</v>
      </c>
      <c r="D352" s="87">
        <f>F352+G352+M352</f>
        <v>0</v>
      </c>
      <c r="E352" s="89"/>
      <c r="F352" s="87">
        <f>F353</f>
        <v>0</v>
      </c>
      <c r="G352" s="87">
        <f>G353</f>
        <v>0</v>
      </c>
      <c r="H352" s="95"/>
      <c r="I352" s="95"/>
      <c r="J352" s="90"/>
      <c r="K352" s="90"/>
      <c r="L352" s="96"/>
      <c r="M352" s="87">
        <f>M354</f>
        <v>0</v>
      </c>
      <c r="N352" s="76"/>
      <c r="O352" s="76"/>
      <c r="P352" s="77"/>
    </row>
    <row r="353" spans="2:16" s="73" customFormat="1" ht="75" x14ac:dyDescent="0.25">
      <c r="B353" s="108" t="s">
        <v>953</v>
      </c>
      <c r="C353" s="217" t="s">
        <v>1009</v>
      </c>
      <c r="D353" s="87">
        <f>F353+G353</f>
        <v>0</v>
      </c>
      <c r="E353" s="88"/>
      <c r="F353" s="97"/>
      <c r="G353" s="97"/>
      <c r="H353" s="90"/>
      <c r="I353" s="90"/>
      <c r="J353" s="90"/>
      <c r="K353" s="90"/>
      <c r="L353" s="98"/>
      <c r="M353" s="87"/>
      <c r="N353" s="37" t="str">
        <f>IF((D353&lt;=E$10),"Выполнено","ПРОВЕРИТЬ (таких случаев возложения не может быть больше чем муниципальных районов)")</f>
        <v>Выполнено</v>
      </c>
      <c r="O353" s="79" t="str">
        <f t="shared" ref="O353:O354" si="74">IF(((D353=0)),"   ","Нужно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администрации")</f>
        <v xml:space="preserve">   </v>
      </c>
      <c r="P353" s="77"/>
    </row>
    <row r="354" spans="2:16" s="73" customFormat="1" ht="60" x14ac:dyDescent="0.25">
      <c r="B354" s="108" t="s">
        <v>954</v>
      </c>
      <c r="C354" s="217" t="s">
        <v>1010</v>
      </c>
      <c r="D354" s="87">
        <f>M354</f>
        <v>0</v>
      </c>
      <c r="E354" s="99"/>
      <c r="F354" s="100"/>
      <c r="G354" s="101"/>
      <c r="H354" s="102"/>
      <c r="I354" s="102"/>
      <c r="J354" s="102"/>
      <c r="K354" s="102"/>
      <c r="L354" s="103"/>
      <c r="M354" s="97"/>
      <c r="N354" s="86" t="str">
        <f>IF((M354&lt;=M$10),"Выполнено","ПРОВЕРИТЬ (таких муниципальных образований не может быть больше общего их числа)")</f>
        <v>Выполнено</v>
      </c>
      <c r="O354" s="79" t="str">
        <f t="shared" si="74"/>
        <v xml:space="preserve">   </v>
      </c>
      <c r="P354" s="77"/>
    </row>
    <row r="355" spans="2:16" s="21" customFormat="1" ht="30" x14ac:dyDescent="0.25">
      <c r="B355" s="107" t="s">
        <v>957</v>
      </c>
      <c r="C355" s="216" t="s">
        <v>380</v>
      </c>
      <c r="D355" s="55"/>
      <c r="E355" s="56"/>
      <c r="F355" s="56"/>
      <c r="G355" s="56"/>
      <c r="H355" s="56"/>
      <c r="I355" s="56"/>
      <c r="J355" s="56"/>
      <c r="K355" s="56"/>
      <c r="L355" s="56"/>
      <c r="M355" s="56"/>
      <c r="N355" s="33"/>
      <c r="O355" s="74"/>
      <c r="P355" s="45"/>
    </row>
    <row r="356" spans="2:16" ht="30" x14ac:dyDescent="0.25">
      <c r="B356" s="107" t="s">
        <v>958</v>
      </c>
      <c r="C356" s="216" t="s">
        <v>381</v>
      </c>
      <c r="D356" s="72">
        <f t="shared" ref="D356:D419" si="75">SUM(E356:I356)+SUM(K356:M356)</f>
        <v>1</v>
      </c>
      <c r="E356" s="153">
        <f t="shared" ref="E356:M356" si="76">E299-E300-E303</f>
        <v>0</v>
      </c>
      <c r="F356" s="153">
        <f t="shared" si="76"/>
        <v>0</v>
      </c>
      <c r="G356" s="153">
        <f t="shared" si="76"/>
        <v>1</v>
      </c>
      <c r="H356" s="153">
        <f t="shared" si="76"/>
        <v>0</v>
      </c>
      <c r="I356" s="153">
        <f t="shared" si="76"/>
        <v>0</v>
      </c>
      <c r="J356" s="153">
        <f t="shared" si="76"/>
        <v>0</v>
      </c>
      <c r="K356" s="153">
        <f t="shared" si="76"/>
        <v>0</v>
      </c>
      <c r="L356" s="153">
        <f t="shared" si="76"/>
        <v>0</v>
      </c>
      <c r="M356" s="153">
        <f t="shared" si="76"/>
        <v>0</v>
      </c>
      <c r="N356" s="30"/>
      <c r="O356" s="76"/>
      <c r="P356" s="45"/>
    </row>
    <row r="357" spans="2:16" ht="45" x14ac:dyDescent="0.25">
      <c r="B357" s="120" t="s">
        <v>959</v>
      </c>
      <c r="C357" s="216" t="s">
        <v>382</v>
      </c>
      <c r="D357" s="72">
        <f t="shared" si="75"/>
        <v>1</v>
      </c>
      <c r="E357" s="133">
        <f>E300+E303</f>
        <v>0</v>
      </c>
      <c r="F357" s="133">
        <f>F300+F303-F349</f>
        <v>0</v>
      </c>
      <c r="G357" s="133">
        <f>G300+G303-G349</f>
        <v>1</v>
      </c>
      <c r="H357" s="133">
        <f>H300+H303</f>
        <v>0</v>
      </c>
      <c r="I357" s="133">
        <f>I300+I303</f>
        <v>0</v>
      </c>
      <c r="J357" s="133">
        <f>J300+J303</f>
        <v>0</v>
      </c>
      <c r="K357" s="133">
        <f>K300+K303</f>
        <v>0</v>
      </c>
      <c r="L357" s="133">
        <f>L300+L303</f>
        <v>0</v>
      </c>
      <c r="M357" s="133">
        <f>M300+M303-M349</f>
        <v>0</v>
      </c>
      <c r="N357" s="30"/>
      <c r="O357" s="76"/>
      <c r="P357" s="45"/>
    </row>
    <row r="358" spans="2:16" ht="30" x14ac:dyDescent="0.25">
      <c r="B358" s="107" t="s">
        <v>956</v>
      </c>
      <c r="C358" s="216" t="s">
        <v>383</v>
      </c>
      <c r="D358" s="72">
        <f t="shared" si="75"/>
        <v>1</v>
      </c>
      <c r="E358" s="153">
        <f t="shared" ref="E358:M358" si="77">E309-E310-E313</f>
        <v>0</v>
      </c>
      <c r="F358" s="153">
        <f t="shared" si="77"/>
        <v>0</v>
      </c>
      <c r="G358" s="153">
        <f t="shared" si="77"/>
        <v>1</v>
      </c>
      <c r="H358" s="153">
        <f t="shared" si="77"/>
        <v>0</v>
      </c>
      <c r="I358" s="153">
        <f t="shared" si="77"/>
        <v>0</v>
      </c>
      <c r="J358" s="153">
        <f t="shared" si="77"/>
        <v>0</v>
      </c>
      <c r="K358" s="153">
        <f t="shared" si="77"/>
        <v>0</v>
      </c>
      <c r="L358" s="153">
        <f t="shared" si="77"/>
        <v>0</v>
      </c>
      <c r="M358" s="153">
        <f t="shared" si="77"/>
        <v>0</v>
      </c>
      <c r="N358" s="30"/>
      <c r="O358" s="76"/>
      <c r="P358" s="45"/>
    </row>
    <row r="359" spans="2:16" ht="45" x14ac:dyDescent="0.25">
      <c r="B359" s="109" t="s">
        <v>960</v>
      </c>
      <c r="C359" s="222" t="s">
        <v>377</v>
      </c>
      <c r="D359" s="72">
        <f t="shared" si="75"/>
        <v>1</v>
      </c>
      <c r="E359" s="134"/>
      <c r="F359" s="134"/>
      <c r="G359" s="134">
        <v>1</v>
      </c>
      <c r="H359" s="134"/>
      <c r="I359" s="134"/>
      <c r="J359" s="134"/>
      <c r="K359" s="134"/>
      <c r="L359" s="134"/>
      <c r="M359" s="134"/>
      <c r="N359" s="30"/>
      <c r="O359" s="76"/>
      <c r="P359" s="46"/>
    </row>
    <row r="360" spans="2:16" ht="30" x14ac:dyDescent="0.25">
      <c r="B360" s="108" t="s">
        <v>676</v>
      </c>
      <c r="C360" s="217" t="s">
        <v>384</v>
      </c>
      <c r="D360" s="72">
        <f t="shared" si="75"/>
        <v>0</v>
      </c>
      <c r="E360" s="135"/>
      <c r="F360" s="135"/>
      <c r="G360" s="135"/>
      <c r="H360" s="135"/>
      <c r="I360" s="135"/>
      <c r="J360" s="135"/>
      <c r="K360" s="135"/>
      <c r="L360" s="135"/>
      <c r="M360" s="135"/>
      <c r="N360" s="37" t="str">
        <f>IF((D360&lt;=D359)*AND(E360&lt;=E359)*AND(F360&lt;=F359)*AND(G360&lt;=G359)*AND(H360&lt;=H359)*AND(I360&lt;=I359)*AND(K360&lt;=K359)*AND(L360&lt;=L359)*AND(M360&lt;=M359)*AND(J360&lt;=J359),"Выполнено","ПРОВЕРИТЬ (таких глав администраций не может быть больше общего числа действующих глав местных администраций)
)")</f>
        <v>Выполнено</v>
      </c>
      <c r="O360" s="84" t="str">
        <f>IF(((D360=0)),"   ","Нужно заполнить пункт 55 текстовой части - о главах, временно отстраненных от должности")</f>
        <v xml:space="preserve">   </v>
      </c>
      <c r="P360" s="44"/>
    </row>
    <row r="361" spans="2:16" ht="45" x14ac:dyDescent="0.25">
      <c r="B361" s="108" t="s">
        <v>677</v>
      </c>
      <c r="C361" s="217" t="s">
        <v>197</v>
      </c>
      <c r="D361" s="72">
        <f t="shared" si="75"/>
        <v>0</v>
      </c>
      <c r="E361" s="135"/>
      <c r="F361" s="135"/>
      <c r="G361" s="135"/>
      <c r="H361" s="135"/>
      <c r="I361" s="135"/>
      <c r="J361" s="135"/>
      <c r="K361" s="135"/>
      <c r="L361" s="135"/>
      <c r="M361" s="135"/>
      <c r="N361" s="30"/>
      <c r="O361" s="79" t="str">
        <f>IF(((D361=0)),"   ","Нужно заполнить пункт 48 текстовой части - о вакантных должностях глав местных администраций")</f>
        <v xml:space="preserve">   </v>
      </c>
      <c r="P361" s="46"/>
    </row>
    <row r="362" spans="2:16" ht="75" x14ac:dyDescent="0.25">
      <c r="B362" s="108" t="s">
        <v>961</v>
      </c>
      <c r="C362" s="217" t="s">
        <v>385</v>
      </c>
      <c r="D362" s="72">
        <f t="shared" si="75"/>
        <v>0</v>
      </c>
      <c r="E362" s="135"/>
      <c r="F362" s="135"/>
      <c r="G362" s="135"/>
      <c r="H362" s="135"/>
      <c r="I362" s="135"/>
      <c r="J362" s="135"/>
      <c r="K362" s="135"/>
      <c r="L362" s="135"/>
      <c r="M362" s="135"/>
      <c r="N362" s="30"/>
      <c r="O362" s="76"/>
      <c r="P362" s="44"/>
    </row>
    <row r="363" spans="2:16" ht="45" x14ac:dyDescent="0.25">
      <c r="B363" s="109" t="s">
        <v>539</v>
      </c>
      <c r="C363" s="222" t="s">
        <v>299</v>
      </c>
      <c r="D363" s="55"/>
      <c r="E363" s="56"/>
      <c r="F363" s="56"/>
      <c r="G363" s="56"/>
      <c r="H363" s="56"/>
      <c r="I363" s="56"/>
      <c r="J363" s="56"/>
      <c r="K363" s="56"/>
      <c r="L363" s="56"/>
      <c r="M363" s="56"/>
      <c r="N363" s="33"/>
      <c r="O363" s="74"/>
      <c r="P363" s="44"/>
    </row>
    <row r="364" spans="2:16" s="21" customFormat="1" ht="30" x14ac:dyDescent="0.25">
      <c r="B364" s="109" t="s">
        <v>962</v>
      </c>
      <c r="C364" s="222" t="s">
        <v>300</v>
      </c>
      <c r="D364" s="72">
        <f t="shared" si="75"/>
        <v>0</v>
      </c>
      <c r="E364" s="52"/>
      <c r="F364" s="52"/>
      <c r="G364" s="52"/>
      <c r="H364" s="52"/>
      <c r="I364" s="52"/>
      <c r="J364" s="52"/>
      <c r="K364" s="134"/>
      <c r="L364" s="134"/>
      <c r="M364" s="134"/>
      <c r="N364" s="37" t="str">
        <f>IF((D364&lt;=D$10)*AND(E364&lt;=E$10)*AND(F364&lt;=F$10)*AND(G364&lt;=G$10)*AND(H364&lt;=H$10)*AND(I364&lt;=I$10)*AND(K364&lt;=K$10)*AND(L364&lt;=L$10)*AND(M364&lt;=M$10)*AND(J364&lt;=J$10),"Выполнено","ПРОВЕРИТЬ (таких муниципальных образований не может быть больше их общего числа)")</f>
        <v>Выполнено</v>
      </c>
      <c r="O364" s="20"/>
      <c r="P364" s="44"/>
    </row>
    <row r="365" spans="2:16" s="21" customFormat="1" x14ac:dyDescent="0.25">
      <c r="B365" s="109" t="s">
        <v>963</v>
      </c>
      <c r="C365" s="222" t="s">
        <v>301</v>
      </c>
      <c r="D365" s="72">
        <f t="shared" si="75"/>
        <v>0</v>
      </c>
      <c r="E365" s="52"/>
      <c r="F365" s="52"/>
      <c r="G365" s="52"/>
      <c r="H365" s="52"/>
      <c r="I365" s="52"/>
      <c r="J365" s="52"/>
      <c r="K365" s="134"/>
      <c r="L365" s="134"/>
      <c r="M365" s="134"/>
      <c r="N365" s="37" t="str">
        <f>IF((D365&lt;=D$10)*AND(E365&lt;=E$10)*AND(F365&lt;=F$10)*AND(G365&lt;=G$10)*AND(H365&lt;=H$10)*AND(I365&lt;=I$10)*AND(K365&lt;=K$10)*AND(L365&lt;=L$10)*AND(M365&lt;=M$10)*AND(J365&lt;=J$10),"Выполнено","ПРОВЕРИТЬ (таких муниципальных образований не может быть больше их общего числа)")</f>
        <v>Выполнено</v>
      </c>
      <c r="O365" s="20"/>
      <c r="P365" s="44"/>
    </row>
    <row r="366" spans="2:16" s="21" customFormat="1" ht="30" x14ac:dyDescent="0.25">
      <c r="B366" s="109" t="s">
        <v>540</v>
      </c>
      <c r="C366" s="222" t="s">
        <v>198</v>
      </c>
      <c r="D366" s="72">
        <f t="shared" si="75"/>
        <v>0</v>
      </c>
      <c r="E366" s="52"/>
      <c r="F366" s="52"/>
      <c r="G366" s="132"/>
      <c r="H366" s="52"/>
      <c r="I366" s="52"/>
      <c r="J366" s="52"/>
      <c r="K366" s="134"/>
      <c r="L366" s="134"/>
      <c r="M366" s="134"/>
      <c r="N366" s="20"/>
      <c r="O366" s="79" t="str">
        <f>IF(((D366&gt;=D364)*AND(E366&gt;=E364)*AND(F366&gt;=F364)*AND(G366&gt;=G364)*AND(H366&gt;=H364)*AND(I366&gt;=I364)*AND(K366&gt;=K364)*AND(L366&gt;=L364)*AND(M366&gt;=M364)*AND(J366&gt;=J364)),"   ","Подсказка - таких органов, как правило, должно быть больше чем муниципалитетов, в которых предусмотрено их создание.")</f>
        <v xml:space="preserve">   </v>
      </c>
      <c r="P366" s="44"/>
    </row>
    <row r="367" spans="2:16" s="21" customFormat="1" ht="30" x14ac:dyDescent="0.25">
      <c r="B367" s="109" t="s">
        <v>964</v>
      </c>
      <c r="C367" s="222" t="s">
        <v>199</v>
      </c>
      <c r="D367" s="72">
        <f t="shared" si="75"/>
        <v>0</v>
      </c>
      <c r="E367" s="52"/>
      <c r="F367" s="52"/>
      <c r="G367" s="52"/>
      <c r="H367" s="52"/>
      <c r="I367" s="52"/>
      <c r="J367" s="52"/>
      <c r="K367" s="134"/>
      <c r="L367" s="134"/>
      <c r="M367" s="134"/>
      <c r="N367" s="20"/>
      <c r="O367" s="79" t="str">
        <f>IF(((D367&gt;=D365)*AND(E367&gt;=E365)*AND(F367&gt;=F365)*AND(G367&gt;=G365)*AND(H367&gt;=H365)*AND(I367&gt;=I365)*AND(K367&gt;=K365)*AND(L367&gt;=L365)*AND(M367&gt;=M365)*AND(J367&gt;=J365)),"   ","Подсказка - таких органов, как правило, должно быть больше чем муниципалитетов, в которых предусмотрено их создание.")</f>
        <v xml:space="preserve">   </v>
      </c>
      <c r="P367" s="44"/>
    </row>
    <row r="368" spans="2:16" s="21" customFormat="1" ht="30" x14ac:dyDescent="0.25">
      <c r="B368" s="107" t="s">
        <v>678</v>
      </c>
      <c r="C368" s="215" t="s">
        <v>348</v>
      </c>
      <c r="D368" s="55"/>
      <c r="E368" s="56"/>
      <c r="F368" s="56"/>
      <c r="G368" s="56"/>
      <c r="H368" s="56"/>
      <c r="I368" s="56"/>
      <c r="J368" s="56"/>
      <c r="K368" s="56"/>
      <c r="L368" s="56"/>
      <c r="M368" s="56"/>
      <c r="N368" s="33"/>
      <c r="O368" s="74"/>
      <c r="P368" s="44"/>
    </row>
    <row r="369" spans="2:16" s="21" customFormat="1" ht="45" x14ac:dyDescent="0.25">
      <c r="B369" s="107" t="s">
        <v>679</v>
      </c>
      <c r="C369" s="216" t="s">
        <v>351</v>
      </c>
      <c r="D369" s="72">
        <f t="shared" si="75"/>
        <v>1</v>
      </c>
      <c r="E369" s="133">
        <f t="shared" ref="E369:M369" si="78">SUM(E370:E372)</f>
        <v>0</v>
      </c>
      <c r="F369" s="133">
        <f t="shared" si="78"/>
        <v>0</v>
      </c>
      <c r="G369" s="133">
        <f t="shared" si="78"/>
        <v>1</v>
      </c>
      <c r="H369" s="133">
        <f t="shared" si="78"/>
        <v>0</v>
      </c>
      <c r="I369" s="133">
        <f t="shared" si="78"/>
        <v>0</v>
      </c>
      <c r="J369" s="133">
        <f>SUM(J370:J372)</f>
        <v>0</v>
      </c>
      <c r="K369" s="133">
        <f t="shared" si="78"/>
        <v>0</v>
      </c>
      <c r="L369" s="133">
        <f t="shared" si="78"/>
        <v>0</v>
      </c>
      <c r="M369" s="133">
        <f t="shared" si="78"/>
        <v>0</v>
      </c>
      <c r="N369" s="37" t="str">
        <f>IF((D369=D$10)*AND(E369=E$10)*AND(F369=F$10)*AND(G369=G$10)*AND(H369=H$10)*AND(I369=I$10)*AND(K369=K$10)*AND(L369=L$10)*AND(M369=M$10)*AND(J369=J$10),"Выполнено","ПРОВЕРИТЬ (в сумме должно получиться общее число муниципальных образований)")</f>
        <v>ПРОВЕРИТЬ (в сумме должно получиться общее число муниципальных образований)</v>
      </c>
      <c r="O369" s="76"/>
      <c r="P369" s="44"/>
    </row>
    <row r="370" spans="2:16" x14ac:dyDescent="0.25">
      <c r="B370" s="107" t="s">
        <v>680</v>
      </c>
      <c r="C370" s="216" t="s">
        <v>352</v>
      </c>
      <c r="D370" s="72">
        <f t="shared" si="75"/>
        <v>0</v>
      </c>
      <c r="E370" s="124"/>
      <c r="F370" s="124"/>
      <c r="G370" s="124"/>
      <c r="H370" s="124"/>
      <c r="I370" s="124"/>
      <c r="J370" s="134"/>
      <c r="K370" s="134"/>
      <c r="L370" s="134"/>
      <c r="M370" s="134"/>
      <c r="N370" s="30"/>
      <c r="O370" s="76"/>
      <c r="P370" s="44"/>
    </row>
    <row r="371" spans="2:16" s="21" customFormat="1" ht="45" x14ac:dyDescent="0.25">
      <c r="B371" s="107" t="s">
        <v>681</v>
      </c>
      <c r="C371" s="216" t="s">
        <v>353</v>
      </c>
      <c r="D371" s="72">
        <f t="shared" si="75"/>
        <v>1</v>
      </c>
      <c r="E371" s="124"/>
      <c r="F371" s="124"/>
      <c r="G371" s="124">
        <v>1</v>
      </c>
      <c r="H371" s="124"/>
      <c r="I371" s="124"/>
      <c r="J371" s="134"/>
      <c r="K371" s="134"/>
      <c r="L371" s="134"/>
      <c r="M371" s="134"/>
      <c r="N371" s="30"/>
      <c r="O371" s="76"/>
      <c r="P371" s="44"/>
    </row>
    <row r="372" spans="2:16" s="21" customFormat="1" ht="30" x14ac:dyDescent="0.25">
      <c r="B372" s="108" t="s">
        <v>347</v>
      </c>
      <c r="C372" s="217" t="s">
        <v>386</v>
      </c>
      <c r="D372" s="72">
        <f t="shared" si="75"/>
        <v>0</v>
      </c>
      <c r="E372" s="122"/>
      <c r="F372" s="122"/>
      <c r="G372" s="122"/>
      <c r="H372" s="122"/>
      <c r="I372" s="122"/>
      <c r="J372" s="135"/>
      <c r="K372" s="135"/>
      <c r="L372" s="135"/>
      <c r="M372" s="135"/>
      <c r="N372" s="30"/>
      <c r="O372" s="79" t="str">
        <f>IF(((D372=0)),"   ","Нужно заполнить пункт 49 текстовой части - о муниципальных образованиях, в которых не урегулирован вопрос внешнего финансового контроля")</f>
        <v xml:space="preserve">   </v>
      </c>
      <c r="P372" s="44"/>
    </row>
    <row r="373" spans="2:16" s="21" customFormat="1" ht="30" x14ac:dyDescent="0.25">
      <c r="B373" s="107" t="s">
        <v>682</v>
      </c>
      <c r="C373" s="216" t="s">
        <v>349</v>
      </c>
      <c r="D373" s="72">
        <f t="shared" si="75"/>
        <v>0</v>
      </c>
      <c r="E373" s="124"/>
      <c r="F373" s="124"/>
      <c r="G373" s="124"/>
      <c r="H373" s="124"/>
      <c r="I373" s="124"/>
      <c r="J373" s="134"/>
      <c r="K373" s="134"/>
      <c r="L373" s="134"/>
      <c r="M373" s="134"/>
      <c r="N373" s="30"/>
      <c r="O373" s="79" t="str">
        <f>IF(((D373&gt;=D370)*AND(E373&gt;=E370)*AND(F373&gt;=F370)*AND(G373&gt;=G370)*AND(H373&gt;=H370)*AND(I373&gt;=I370)*AND(K373&gt;=K370)*AND(L373&gt;=L370)*AND(M373&gt;=M370)*AND(J373&gt;=J370)),"   ","Подсказка - таких органов вряд ли может быть больше чем муниципалитетов, где предусмотрено их создание.")</f>
        <v xml:space="preserve">   </v>
      </c>
      <c r="P373" s="44"/>
    </row>
    <row r="374" spans="2:16" s="21" customFormat="1" ht="60" x14ac:dyDescent="0.25">
      <c r="B374" s="107" t="s">
        <v>683</v>
      </c>
      <c r="C374" s="216" t="s">
        <v>396</v>
      </c>
      <c r="D374" s="72">
        <f t="shared" si="75"/>
        <v>0</v>
      </c>
      <c r="E374" s="124"/>
      <c r="F374" s="124"/>
      <c r="G374" s="124"/>
      <c r="H374" s="124"/>
      <c r="I374" s="124"/>
      <c r="J374" s="134"/>
      <c r="K374" s="134"/>
      <c r="L374" s="134"/>
      <c r="M374" s="134"/>
      <c r="N374" s="37" t="str">
        <f>IF((D374&gt;=D373)*AND(E374&gt;=E373)*AND(F374&gt;=F373)*AND(G374&gt;=G373)*AND(H374&gt;=H373)*AND(I374&gt;=I373)*AND(K374&gt;=K373)*AND(L374&gt;=L373)*AND(M374&gt;=M373)*AND(J374&gt;=J373),"Выполнено","ПРОВЕРИТЬ (количество членов коллегиальных органов, как правило, в разы больше количества самих коллегиальных органов)")</f>
        <v>Выполнено</v>
      </c>
      <c r="O374" s="76"/>
      <c r="P374" s="44"/>
    </row>
    <row r="375" spans="2:16" s="21" customFormat="1" x14ac:dyDescent="0.25">
      <c r="B375" s="107" t="s">
        <v>684</v>
      </c>
      <c r="C375" s="216" t="s">
        <v>236</v>
      </c>
      <c r="D375" s="72">
        <f t="shared" si="75"/>
        <v>0</v>
      </c>
      <c r="E375" s="124"/>
      <c r="F375" s="124"/>
      <c r="G375" s="124"/>
      <c r="H375" s="124"/>
      <c r="I375" s="124"/>
      <c r="J375" s="134"/>
      <c r="K375" s="134"/>
      <c r="L375" s="134"/>
      <c r="M375" s="134"/>
      <c r="N375" s="37" t="str">
        <f>IF((D375&lt;=D374)*AND(E375&lt;=E374)*AND(F375&lt;=F374)*AND(G375&lt;=G374)*AND(H375&lt;=H374)*AND(I375&lt;=I374)*AND(K375&lt;=K374)*AND(L375&lt;=L374)*AND(M375&lt;=M374)*AND(J375&lt;=J374),"Выполнено","ПРОВЕРИТЬ (значения этой строки не могут быть больше предыдущей)
)")</f>
        <v>Выполнено</v>
      </c>
      <c r="O375" s="76"/>
      <c r="P375" s="44"/>
    </row>
    <row r="376" spans="2:16" s="21" customFormat="1" ht="30" x14ac:dyDescent="0.25">
      <c r="B376" s="112" t="s">
        <v>685</v>
      </c>
      <c r="C376" s="223" t="s">
        <v>120</v>
      </c>
      <c r="D376" s="72">
        <f t="shared" si="75"/>
        <v>1</v>
      </c>
      <c r="E376" s="133">
        <f>SUM(E377:E382)</f>
        <v>0</v>
      </c>
      <c r="F376" s="133">
        <f t="shared" ref="F376:M376" si="79">SUM(F377:F382)</f>
        <v>0</v>
      </c>
      <c r="G376" s="133">
        <f t="shared" si="79"/>
        <v>1</v>
      </c>
      <c r="H376" s="133">
        <f t="shared" si="79"/>
        <v>0</v>
      </c>
      <c r="I376" s="133">
        <f t="shared" si="79"/>
        <v>0</v>
      </c>
      <c r="J376" s="133">
        <f>SUM(J377:J382)</f>
        <v>0</v>
      </c>
      <c r="K376" s="133">
        <f t="shared" si="79"/>
        <v>0</v>
      </c>
      <c r="L376" s="133">
        <f t="shared" si="79"/>
        <v>0</v>
      </c>
      <c r="M376" s="133">
        <f t="shared" si="79"/>
        <v>0</v>
      </c>
      <c r="N376" s="30"/>
      <c r="O376" s="76"/>
      <c r="P376" s="44"/>
    </row>
    <row r="377" spans="2:16" s="21" customFormat="1" ht="30" x14ac:dyDescent="0.25">
      <c r="B377" s="109" t="s">
        <v>116</v>
      </c>
      <c r="C377" s="222" t="s">
        <v>121</v>
      </c>
      <c r="D377" s="72">
        <f t="shared" si="75"/>
        <v>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30"/>
      <c r="O377" s="82"/>
      <c r="P377" s="44"/>
    </row>
    <row r="378" spans="2:16" x14ac:dyDescent="0.25">
      <c r="B378" s="109" t="s">
        <v>686</v>
      </c>
      <c r="C378" s="222" t="s">
        <v>122</v>
      </c>
      <c r="D378" s="72">
        <f t="shared" si="75"/>
        <v>1</v>
      </c>
      <c r="E378" s="134"/>
      <c r="F378" s="134"/>
      <c r="G378" s="134">
        <v>1</v>
      </c>
      <c r="H378" s="134"/>
      <c r="I378" s="134"/>
      <c r="J378" s="134"/>
      <c r="K378" s="134"/>
      <c r="L378" s="134"/>
      <c r="M378" s="134"/>
      <c r="N378" s="30"/>
      <c r="O378" s="82"/>
      <c r="P378" s="42"/>
    </row>
    <row r="379" spans="2:16" ht="30" x14ac:dyDescent="0.25">
      <c r="B379" s="109" t="s">
        <v>378</v>
      </c>
      <c r="C379" s="222" t="s">
        <v>123</v>
      </c>
      <c r="D379" s="72">
        <f t="shared" si="75"/>
        <v>0</v>
      </c>
      <c r="E379" s="52"/>
      <c r="F379" s="52"/>
      <c r="G379" s="52"/>
      <c r="H379" s="52"/>
      <c r="I379" s="52"/>
      <c r="J379" s="52"/>
      <c r="K379" s="134"/>
      <c r="L379" s="134"/>
      <c r="M379" s="134"/>
      <c r="N379" s="32"/>
      <c r="O379" s="82"/>
      <c r="P379" s="48"/>
    </row>
    <row r="380" spans="2:16" x14ac:dyDescent="0.25">
      <c r="B380" s="109" t="s">
        <v>687</v>
      </c>
      <c r="C380" s="222" t="s">
        <v>124</v>
      </c>
      <c r="D380" s="72">
        <f t="shared" si="75"/>
        <v>0</v>
      </c>
      <c r="E380" s="52"/>
      <c r="F380" s="52"/>
      <c r="G380" s="52"/>
      <c r="H380" s="52"/>
      <c r="I380" s="52"/>
      <c r="J380" s="52"/>
      <c r="K380" s="134"/>
      <c r="L380" s="134"/>
      <c r="M380" s="134"/>
      <c r="N380" s="30"/>
      <c r="O380" s="82"/>
      <c r="P380" s="48"/>
    </row>
    <row r="381" spans="2:16" s="21" customFormat="1" ht="30" x14ac:dyDescent="0.25">
      <c r="B381" s="109" t="s">
        <v>688</v>
      </c>
      <c r="C381" s="222" t="s">
        <v>125</v>
      </c>
      <c r="D381" s="72">
        <f t="shared" si="75"/>
        <v>0</v>
      </c>
      <c r="E381" s="52"/>
      <c r="F381" s="52"/>
      <c r="G381" s="52"/>
      <c r="H381" s="52"/>
      <c r="I381" s="52"/>
      <c r="J381" s="52"/>
      <c r="K381" s="134"/>
      <c r="L381" s="134"/>
      <c r="M381" s="134"/>
      <c r="N381" s="30"/>
      <c r="O381" s="82"/>
      <c r="P381" s="48"/>
    </row>
    <row r="382" spans="2:16" s="21" customFormat="1" x14ac:dyDescent="0.25">
      <c r="B382" s="109" t="s">
        <v>689</v>
      </c>
      <c r="C382" s="222" t="s">
        <v>126</v>
      </c>
      <c r="D382" s="72">
        <f t="shared" si="75"/>
        <v>0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30"/>
      <c r="O382" s="82"/>
      <c r="P382" s="48"/>
    </row>
    <row r="383" spans="2:16" s="21" customFormat="1" ht="45" x14ac:dyDescent="0.25">
      <c r="B383" s="108" t="s">
        <v>379</v>
      </c>
      <c r="C383" s="217" t="s">
        <v>119</v>
      </c>
      <c r="D383" s="72">
        <f t="shared" si="75"/>
        <v>0</v>
      </c>
      <c r="E383" s="135"/>
      <c r="F383" s="135"/>
      <c r="G383" s="134"/>
      <c r="H383" s="135"/>
      <c r="I383" s="135"/>
      <c r="J383" s="135"/>
      <c r="K383" s="135"/>
      <c r="L383" s="134"/>
      <c r="M383" s="134"/>
      <c r="N383" s="37" t="str">
        <f>IF((D383&lt;=D$10)*AND(E383&lt;=E$10)*AND(F383&lt;=F$10)*AND(G383&lt;=G$10)*AND(H383&lt;=H$10)*AND(I383&lt;=I$10)*AND(K383&lt;=K$10)*AND(L383&lt;=L$10)*AND(M383&lt;=M$10)*AND(J383&lt;=J$10),"Выполнено","ПРОВЕРИТЬ (таких муниципальных образований не может быть больше их общего числа)")</f>
        <v>Выполнено</v>
      </c>
      <c r="O383" s="79" t="str">
        <f>IF(((E383+F383+H383+I383+K383=0)),"   ","Нужно заполнить пункт 50 текстовой части - о представительных органах, не имеющих статуса юридических лиц")</f>
        <v xml:space="preserve">   </v>
      </c>
      <c r="P383" s="48"/>
    </row>
    <row r="384" spans="2:16" s="21" customFormat="1" ht="30" x14ac:dyDescent="0.25">
      <c r="B384" s="108" t="s">
        <v>690</v>
      </c>
      <c r="C384" s="217" t="s">
        <v>475</v>
      </c>
      <c r="D384" s="104">
        <f t="shared" si="75"/>
        <v>0</v>
      </c>
      <c r="E384" s="135"/>
      <c r="F384" s="135"/>
      <c r="G384" s="135"/>
      <c r="H384" s="135"/>
      <c r="I384" s="135"/>
      <c r="J384" s="135"/>
      <c r="K384" s="135"/>
      <c r="L384" s="135"/>
      <c r="M384" s="135"/>
      <c r="N384" s="37" t="str">
        <f>IF((D384&lt;=D$10)*AND(E384&lt;=E$10)*AND(F384&lt;=F$10)*AND(G384&lt;=G$10)*AND(H384&lt;=H$10)*AND(I384&lt;=I$10)*AND(K384&lt;=K$10)*AND(L384&lt;=L$10)*AND(M384&lt;=M$10)*AND(J384&lt;=J$10),"Выполнено","ПРОВЕРИТЬ (таких муниципальных образований не может быть больше их общего числа)")</f>
        <v>Выполнено</v>
      </c>
      <c r="O384" s="79" t="str">
        <f>IF(((D384-D349&lt;=0)),"   ","Нужно заполнить пункт 50 текстовой части - о местных администрациях, не имеющих статуса юридических лиц")</f>
        <v xml:space="preserve">   </v>
      </c>
      <c r="P384" s="48"/>
    </row>
    <row r="385" spans="2:16" s="21" customFormat="1" ht="30" x14ac:dyDescent="0.25">
      <c r="B385" s="106" t="s">
        <v>472</v>
      </c>
      <c r="C385" s="215" t="s">
        <v>133</v>
      </c>
      <c r="D385" s="105"/>
      <c r="E385" s="56"/>
      <c r="F385" s="56"/>
      <c r="G385" s="56"/>
      <c r="H385" s="56"/>
      <c r="I385" s="56"/>
      <c r="J385" s="56"/>
      <c r="K385" s="56"/>
      <c r="L385" s="56"/>
      <c r="M385" s="56"/>
      <c r="N385" s="33"/>
      <c r="O385" s="74"/>
      <c r="P385" s="48"/>
    </row>
    <row r="386" spans="2:16" s="21" customFormat="1" ht="30" x14ac:dyDescent="0.25">
      <c r="B386" s="109" t="s">
        <v>471</v>
      </c>
      <c r="C386" s="222" t="s">
        <v>376</v>
      </c>
      <c r="D386" s="104">
        <f t="shared" si="75"/>
        <v>2</v>
      </c>
      <c r="E386" s="133">
        <f t="shared" ref="E386:M386" si="80">SUM(E387:E390)</f>
        <v>0</v>
      </c>
      <c r="F386" s="133">
        <f t="shared" si="80"/>
        <v>0</v>
      </c>
      <c r="G386" s="133">
        <v>2</v>
      </c>
      <c r="H386" s="133">
        <f t="shared" si="80"/>
        <v>0</v>
      </c>
      <c r="I386" s="133">
        <f t="shared" si="80"/>
        <v>0</v>
      </c>
      <c r="J386" s="133">
        <f>SUM(J387:J390)</f>
        <v>0</v>
      </c>
      <c r="K386" s="133">
        <f t="shared" si="80"/>
        <v>0</v>
      </c>
      <c r="L386" s="133">
        <f t="shared" si="80"/>
        <v>0</v>
      </c>
      <c r="M386" s="133">
        <f t="shared" si="80"/>
        <v>0</v>
      </c>
      <c r="N386" s="37" t="str">
        <f>IF((D386&gt;=D$10)*AND(E386&gt;=E$10)*AND(F386&gt;=F$10)*AND(G386&gt;=G$10)*AND(H386&gt;=H$10)*AND(I386&gt;=I$10)*AND(K386&gt;=K$10)*AND(L386&gt;=L$10)*AND(M386&gt;=M$10)*AND(J386&gt;=J$10),"Выполнено","ПРОВЕРИТЬ (служащих в муниципалитетах обычно в разы больше чем самих муниципалитетов соответствующего вида)")</f>
        <v>ПРОВЕРИТЬ (служащих в муниципалитетах обычно в разы больше чем самих муниципалитетов соответствующего вида)</v>
      </c>
      <c r="O386" s="76"/>
      <c r="P386" s="48"/>
    </row>
    <row r="387" spans="2:16" s="21" customFormat="1" ht="30" x14ac:dyDescent="0.25">
      <c r="B387" s="109" t="s">
        <v>473</v>
      </c>
      <c r="C387" s="222" t="s">
        <v>188</v>
      </c>
      <c r="D387" s="104">
        <f t="shared" si="75"/>
        <v>2</v>
      </c>
      <c r="E387" s="52"/>
      <c r="F387" s="52"/>
      <c r="G387" s="52">
        <v>2</v>
      </c>
      <c r="H387" s="52"/>
      <c r="I387" s="52"/>
      <c r="J387" s="52"/>
      <c r="K387" s="134"/>
      <c r="L387" s="134"/>
      <c r="M387" s="134"/>
      <c r="N387" s="30"/>
      <c r="O387" s="76"/>
      <c r="P387" s="48"/>
    </row>
    <row r="388" spans="2:16" ht="30" x14ac:dyDescent="0.25">
      <c r="B388" s="109" t="s">
        <v>474</v>
      </c>
      <c r="C388" s="222" t="s">
        <v>374</v>
      </c>
      <c r="D388" s="104">
        <f t="shared" si="75"/>
        <v>0</v>
      </c>
      <c r="E388" s="52"/>
      <c r="F388" s="52"/>
      <c r="G388" s="52"/>
      <c r="H388" s="52"/>
      <c r="I388" s="52"/>
      <c r="J388" s="52"/>
      <c r="K388" s="134"/>
      <c r="L388" s="134"/>
      <c r="M388" s="134"/>
      <c r="N388" s="30"/>
      <c r="O388" s="76"/>
      <c r="P388" s="48"/>
    </row>
    <row r="389" spans="2:16" ht="30" x14ac:dyDescent="0.25">
      <c r="B389" s="109" t="s">
        <v>691</v>
      </c>
      <c r="C389" s="222" t="s">
        <v>476</v>
      </c>
      <c r="D389" s="104">
        <f t="shared" si="75"/>
        <v>0</v>
      </c>
      <c r="E389" s="52"/>
      <c r="F389" s="52"/>
      <c r="G389" s="52"/>
      <c r="H389" s="52"/>
      <c r="I389" s="52"/>
      <c r="J389" s="52"/>
      <c r="K389" s="134"/>
      <c r="L389" s="134"/>
      <c r="M389" s="134"/>
      <c r="N389" s="30"/>
      <c r="O389" s="76"/>
      <c r="P389" s="48"/>
    </row>
    <row r="390" spans="2:16" x14ac:dyDescent="0.25">
      <c r="B390" s="109" t="s">
        <v>692</v>
      </c>
      <c r="C390" s="222" t="s">
        <v>189</v>
      </c>
      <c r="D390" s="104">
        <f t="shared" si="75"/>
        <v>0</v>
      </c>
      <c r="E390" s="52"/>
      <c r="F390" s="52"/>
      <c r="G390" s="52"/>
      <c r="H390" s="52"/>
      <c r="I390" s="52"/>
      <c r="J390" s="52"/>
      <c r="K390" s="134"/>
      <c r="L390" s="134"/>
      <c r="M390" s="134"/>
      <c r="N390" s="30"/>
      <c r="O390" s="76"/>
      <c r="P390" s="48"/>
    </row>
    <row r="391" spans="2:16" x14ac:dyDescent="0.25">
      <c r="B391" s="109" t="s">
        <v>117</v>
      </c>
      <c r="C391" s="222" t="s">
        <v>131</v>
      </c>
      <c r="D391" s="104">
        <f t="shared" si="75"/>
        <v>2</v>
      </c>
      <c r="E391" s="52"/>
      <c r="F391" s="52"/>
      <c r="G391" s="52">
        <v>2</v>
      </c>
      <c r="H391" s="52"/>
      <c r="I391" s="52"/>
      <c r="J391" s="52"/>
      <c r="K391" s="134"/>
      <c r="L391" s="134"/>
      <c r="M391" s="134"/>
      <c r="N391" s="37" t="str">
        <f>IF((D391&lt;=D386)*AND(E391&lt;=E386)*AND(F391&lt;=F386)*AND(G391&lt;=G386)*AND(H391&lt;=H386)*AND(I391&lt;=I386)*AND(K391&lt;=K386)*AND(L391&lt;=L386)*AND(M391&lt;=M386)*AND(J391&lt;=J386),"Выполнено","ПРОВЕРИТЬ (замещённых ставок не может быть больше чем предусмотрено штатным расписанием)")</f>
        <v>Выполнено</v>
      </c>
      <c r="O391" s="76"/>
      <c r="P391" s="48"/>
    </row>
    <row r="392" spans="2:16" ht="30" x14ac:dyDescent="0.25">
      <c r="B392" s="109" t="s">
        <v>118</v>
      </c>
      <c r="C392" s="222" t="s">
        <v>950</v>
      </c>
      <c r="D392" s="104">
        <f t="shared" si="75"/>
        <v>2</v>
      </c>
      <c r="E392" s="133">
        <f t="shared" ref="E392:M392" si="81">SUM(E393:E396)</f>
        <v>0</v>
      </c>
      <c r="F392" s="133">
        <f t="shared" si="81"/>
        <v>0</v>
      </c>
      <c r="G392" s="133">
        <v>2</v>
      </c>
      <c r="H392" s="133">
        <f t="shared" si="81"/>
        <v>0</v>
      </c>
      <c r="I392" s="133">
        <f t="shared" si="81"/>
        <v>0</v>
      </c>
      <c r="J392" s="133">
        <f>SUM(J393:J396)</f>
        <v>0</v>
      </c>
      <c r="K392" s="133">
        <f t="shared" si="81"/>
        <v>0</v>
      </c>
      <c r="L392" s="133">
        <f t="shared" si="81"/>
        <v>0</v>
      </c>
      <c r="M392" s="133">
        <f t="shared" si="81"/>
        <v>0</v>
      </c>
      <c r="N392" s="51" t="str">
        <f>IF((INT(D392)=D392)*AND(INT(E392)=E392)*AND(INT(F392)=F392)*AND(INT(G392)=G392)*AND(INT(H392)=H392)*AND(INT(I392)=I392)*AND(INT(K392)=K392)*AND(INT(L392)=L392)*AND(INT(M392)=M392)*AND(INT(J392)=J392),"Выполнено","ПРОВЕРИТЬ (число фактически работающих должно быть целым)")</f>
        <v>Выполнено</v>
      </c>
      <c r="O392" s="76"/>
      <c r="P392" s="78"/>
    </row>
    <row r="393" spans="2:16" ht="30" x14ac:dyDescent="0.25">
      <c r="B393" s="109" t="s">
        <v>350</v>
      </c>
      <c r="C393" s="222" t="s">
        <v>188</v>
      </c>
      <c r="D393" s="104">
        <f t="shared" si="75"/>
        <v>2</v>
      </c>
      <c r="E393" s="52"/>
      <c r="F393" s="52"/>
      <c r="G393" s="52">
        <v>2</v>
      </c>
      <c r="H393" s="52"/>
      <c r="I393" s="52"/>
      <c r="J393" s="52"/>
      <c r="K393" s="134"/>
      <c r="L393" s="134"/>
      <c r="M393" s="134"/>
      <c r="N393" s="79" t="str">
        <f>IF((INT(D393)=D393),"Выполнено","ПРОВЕРИТЬ (число фактически работающих должно быть целым)")</f>
        <v>Выполнено</v>
      </c>
      <c r="O393" s="76"/>
      <c r="P393" s="48"/>
    </row>
    <row r="394" spans="2:16" ht="30" x14ac:dyDescent="0.25">
      <c r="B394" s="109" t="s">
        <v>693</v>
      </c>
      <c r="C394" s="222" t="s">
        <v>374</v>
      </c>
      <c r="D394" s="104">
        <f t="shared" si="75"/>
        <v>0</v>
      </c>
      <c r="E394" s="52"/>
      <c r="F394" s="52"/>
      <c r="G394" s="52"/>
      <c r="H394" s="52"/>
      <c r="I394" s="52"/>
      <c r="J394" s="52"/>
      <c r="K394" s="134"/>
      <c r="L394" s="134"/>
      <c r="M394" s="134"/>
      <c r="N394" s="79" t="str">
        <f>IF((INT(D394)=D394),"Выполнено","ПРОВЕРИТЬ (число фактически работающих должно быть целым)")</f>
        <v>Выполнено</v>
      </c>
      <c r="O394" s="76"/>
      <c r="P394" s="48"/>
    </row>
    <row r="395" spans="2:16" ht="30" x14ac:dyDescent="0.25">
      <c r="B395" s="109" t="s">
        <v>694</v>
      </c>
      <c r="C395" s="222" t="s">
        <v>476</v>
      </c>
      <c r="D395" s="104">
        <f t="shared" si="75"/>
        <v>0</v>
      </c>
      <c r="E395" s="52"/>
      <c r="F395" s="52"/>
      <c r="G395" s="52"/>
      <c r="H395" s="52"/>
      <c r="I395" s="52"/>
      <c r="J395" s="52"/>
      <c r="K395" s="134"/>
      <c r="L395" s="134"/>
      <c r="M395" s="134"/>
      <c r="N395" s="79" t="str">
        <f t="shared" ref="N395:N396" si="82">IF((INT(D395)=D395),"Выполнено","ПРОВЕРИТЬ (число фактически работающих должно быть целым)")</f>
        <v>Выполнено</v>
      </c>
      <c r="O395" s="76"/>
      <c r="P395" s="48"/>
    </row>
    <row r="396" spans="2:16" x14ac:dyDescent="0.25">
      <c r="B396" s="109" t="s">
        <v>695</v>
      </c>
      <c r="C396" s="222" t="s">
        <v>189</v>
      </c>
      <c r="D396" s="104">
        <f t="shared" si="75"/>
        <v>0</v>
      </c>
      <c r="E396" s="52"/>
      <c r="F396" s="52"/>
      <c r="G396" s="52"/>
      <c r="H396" s="52"/>
      <c r="I396" s="52"/>
      <c r="J396" s="52"/>
      <c r="K396" s="134"/>
      <c r="L396" s="134"/>
      <c r="M396" s="134"/>
      <c r="N396" s="79" t="str">
        <f t="shared" si="82"/>
        <v>Выполнено</v>
      </c>
      <c r="O396" s="76"/>
      <c r="P396" s="45"/>
    </row>
    <row r="397" spans="2:16" ht="30" x14ac:dyDescent="0.25">
      <c r="B397" s="109" t="s">
        <v>696</v>
      </c>
      <c r="C397" s="222" t="s">
        <v>130</v>
      </c>
      <c r="D397" s="104">
        <f t="shared" si="75"/>
        <v>0</v>
      </c>
      <c r="E397" s="52"/>
      <c r="F397" s="52"/>
      <c r="G397" s="52"/>
      <c r="H397" s="52"/>
      <c r="I397" s="52"/>
      <c r="J397" s="52"/>
      <c r="K397" s="134"/>
      <c r="L397" s="134"/>
      <c r="M397" s="134"/>
      <c r="N397" s="51" t="str">
        <f>IF((INT(D397)=D397)*AND(INT(E397)=E397)*AND(INT(F397)=F397)*AND(INT(G397)=G397)*AND(INT(H397)=H397)*AND(INT(I397)=I397)*AND(INT(K397)=K397)*AND(INT(L397)=L397)*AND(INT(M397)=M397)*AND(INT(J397)=J397),"Выполнено","ПРОВЕРИТЬ (число отсутствующих работников должно быть целым)")</f>
        <v>Выполнено</v>
      </c>
      <c r="O397" s="76"/>
      <c r="P397" s="45"/>
    </row>
    <row r="398" spans="2:16" ht="105" x14ac:dyDescent="0.25">
      <c r="B398" s="106" t="s">
        <v>18</v>
      </c>
      <c r="C398" s="215" t="s">
        <v>1011</v>
      </c>
      <c r="D398" s="55"/>
      <c r="E398" s="56"/>
      <c r="F398" s="56"/>
      <c r="G398" s="56"/>
      <c r="H398" s="56"/>
      <c r="I398" s="56"/>
      <c r="J398" s="56"/>
      <c r="K398" s="56"/>
      <c r="L398" s="56"/>
      <c r="M398" s="56"/>
      <c r="N398" s="33"/>
      <c r="O398" s="74"/>
      <c r="P398" s="45"/>
    </row>
    <row r="399" spans="2:16" ht="45" x14ac:dyDescent="0.25">
      <c r="B399" s="107" t="s">
        <v>6</v>
      </c>
      <c r="C399" s="216" t="s">
        <v>477</v>
      </c>
      <c r="D399" s="72">
        <f t="shared" si="75"/>
        <v>0</v>
      </c>
      <c r="E399" s="52"/>
      <c r="F399" s="52"/>
      <c r="G399" s="52"/>
      <c r="H399" s="52"/>
      <c r="I399" s="52"/>
      <c r="J399" s="134"/>
      <c r="K399" s="134"/>
      <c r="L399" s="134"/>
      <c r="M399" s="134"/>
      <c r="N399" s="51" t="str">
        <f>IF((INT(D399)=D399)*AND(INT(E399)=E399)*AND(INT(F399)=F399)*AND(INT(G399)=G399)*AND(INT(H399)=H399)*AND(INT(I399)=I399)*AND(INT(K399)=K399)*AND(INT(L399)=L399)*AND(INT(M399)=M399)*AND(INT(J399)=J399),"Выполнено","ПРОВЕРИТЬ (число должностей должно быть целым)")</f>
        <v>Выполнено</v>
      </c>
      <c r="O399" s="76"/>
      <c r="P399" s="48"/>
    </row>
    <row r="400" spans="2:16" x14ac:dyDescent="0.25">
      <c r="B400" s="108" t="s">
        <v>127</v>
      </c>
      <c r="C400" s="217" t="s">
        <v>136</v>
      </c>
      <c r="D400" s="72">
        <f t="shared" si="75"/>
        <v>0</v>
      </c>
      <c r="E400" s="53"/>
      <c r="F400" s="53"/>
      <c r="G400" s="53"/>
      <c r="H400" s="53"/>
      <c r="I400" s="53"/>
      <c r="J400" s="135"/>
      <c r="K400" s="135"/>
      <c r="L400" s="135"/>
      <c r="M400" s="135"/>
      <c r="N400" s="37" t="str">
        <f>IF((D400&lt;=D399)*AND(E400&lt;=E399)*AND(F400&lt;=F399)*AND(G400&lt;=G399)*AND(H400&lt;=H399)*AND(I400&lt;=I399)*AND(K400&lt;=K399)*AND(L400&lt;=L399)*AND(M400&lt;=M399)*AND(J400&lt;=J399),"Выполнено","ПРОВЕРИТЬ (замещённых должностей не может быть больше чем предусмотрено штатным расписанием)")</f>
        <v>Выполнено</v>
      </c>
      <c r="O400" s="79" t="str">
        <f>IF(((D400=0)),"   ","Нужно заполнить пункт 51 текстовой части - об иных должностных лицах местного самоуправления")</f>
        <v xml:space="preserve">   </v>
      </c>
      <c r="P400" s="48"/>
    </row>
    <row r="401" spans="2:16" ht="30" x14ac:dyDescent="0.25">
      <c r="B401" s="107" t="s">
        <v>128</v>
      </c>
      <c r="C401" s="216" t="s">
        <v>478</v>
      </c>
      <c r="D401" s="72">
        <f t="shared" si="75"/>
        <v>0</v>
      </c>
      <c r="E401" s="52"/>
      <c r="F401" s="52"/>
      <c r="G401" s="52"/>
      <c r="H401" s="52"/>
      <c r="I401" s="52"/>
      <c r="J401" s="134"/>
      <c r="K401" s="134"/>
      <c r="L401" s="134"/>
      <c r="M401" s="134"/>
      <c r="N401" s="27"/>
      <c r="O401" s="27"/>
      <c r="P401" s="48"/>
    </row>
    <row r="402" spans="2:16" s="73" customFormat="1" x14ac:dyDescent="0.25">
      <c r="B402" s="107" t="s">
        <v>697</v>
      </c>
      <c r="C402" s="216" t="s">
        <v>129</v>
      </c>
      <c r="D402" s="72">
        <f t="shared" si="75"/>
        <v>0</v>
      </c>
      <c r="E402" s="52"/>
      <c r="F402" s="52"/>
      <c r="G402" s="52"/>
      <c r="H402" s="52"/>
      <c r="I402" s="52"/>
      <c r="J402" s="134"/>
      <c r="K402" s="134"/>
      <c r="L402" s="134"/>
      <c r="M402" s="134"/>
      <c r="N402" s="37" t="str">
        <f>IF((D402&lt;=D401)*AND(E402&lt;=E401)*AND(F402&lt;=F401)*AND(G402&lt;=G401)*AND(H402&lt;=H401)*AND(I402&lt;=I401)*AND(K402&lt;=K401)*AND(L402&lt;=L401)*AND(M402&lt;=M401)*AND(J402&lt;=J401),"Выполнено","ПРОВЕРИТЬ (замещённых ставок не может быть больше чем предусмотрено штатным расписанием)")</f>
        <v>Выполнено</v>
      </c>
      <c r="O402" s="27"/>
      <c r="P402" s="78"/>
    </row>
    <row r="403" spans="2:16" s="73" customFormat="1" ht="30" x14ac:dyDescent="0.25">
      <c r="B403" s="108" t="s">
        <v>698</v>
      </c>
      <c r="C403" s="217" t="s">
        <v>699</v>
      </c>
      <c r="D403" s="72">
        <f t="shared" si="75"/>
        <v>0</v>
      </c>
      <c r="E403" s="53"/>
      <c r="F403" s="53"/>
      <c r="G403" s="53"/>
      <c r="H403" s="53"/>
      <c r="I403" s="53"/>
      <c r="J403" s="135"/>
      <c r="K403" s="135"/>
      <c r="L403" s="135"/>
      <c r="M403" s="135"/>
      <c r="N403" s="51" t="str">
        <f>IF((INT(D403)=D403)*AND(INT(E403)=E403)*AND(INT(F403)=F403)*AND(INT(G403)=G403)*AND(INT(H403)=H403)*AND(INT(I403)=I403)*AND(INT(K403)=K403)*AND(INT(L403)=L403)*AND(INT(M403)=M403)*AND(INT(J403)=J403),"Выполнено","ПРОВЕРИТЬ (число фактически работающих должно быть целым)")</f>
        <v>Выполнено</v>
      </c>
      <c r="O403" s="79" t="str">
        <f>IF(((D403=0)),"   ","Нужно заполнить пункт 51 текстовой части - об иных должностных лицах местного самоуправления")</f>
        <v xml:space="preserve">   </v>
      </c>
      <c r="P403" s="78"/>
    </row>
    <row r="404" spans="2:16" s="73" customFormat="1" ht="30" x14ac:dyDescent="0.25">
      <c r="B404" s="109" t="s">
        <v>132</v>
      </c>
      <c r="C404" s="222" t="s">
        <v>144</v>
      </c>
      <c r="D404" s="72">
        <f t="shared" si="75"/>
        <v>0</v>
      </c>
      <c r="E404" s="52"/>
      <c r="F404" s="52"/>
      <c r="G404" s="52"/>
      <c r="H404" s="52"/>
      <c r="I404" s="52"/>
      <c r="J404" s="134"/>
      <c r="K404" s="134"/>
      <c r="L404" s="134"/>
      <c r="M404" s="134"/>
      <c r="N404" s="51" t="str">
        <f>IF((INT(D404)=D404)*AND(INT(E404)=E404)*AND(INT(F404)=F404)*AND(INT(G404)=G404)*AND(INT(H404)=H404)*AND(INT(I404)=I404)*AND(INT(K404)=K404)*AND(INT(L404)=L404)*AND(INT(M404)=M404)*AND(INT(J404)=J404),"Выполнено","ПРОВЕРИТЬ (число отсутствующих работников должно быть целым)")</f>
        <v>Выполнено</v>
      </c>
      <c r="O404" s="76"/>
      <c r="P404" s="78"/>
    </row>
    <row r="405" spans="2:16" ht="75" x14ac:dyDescent="0.25">
      <c r="B405" s="112" t="s">
        <v>700</v>
      </c>
      <c r="C405" s="223" t="s">
        <v>965</v>
      </c>
      <c r="D405" s="55"/>
      <c r="E405" s="56"/>
      <c r="F405" s="56"/>
      <c r="G405" s="56"/>
      <c r="H405" s="56"/>
      <c r="I405" s="56"/>
      <c r="J405" s="56"/>
      <c r="K405" s="56"/>
      <c r="L405" s="56"/>
      <c r="M405" s="56"/>
      <c r="N405" s="33"/>
      <c r="O405" s="74"/>
      <c r="P405" s="78"/>
    </row>
    <row r="406" spans="2:16" s="73" customFormat="1" x14ac:dyDescent="0.25">
      <c r="B406" s="109" t="s">
        <v>135</v>
      </c>
      <c r="C406" s="222" t="s">
        <v>142</v>
      </c>
      <c r="D406" s="72">
        <f t="shared" si="75"/>
        <v>21.75</v>
      </c>
      <c r="E406" s="52"/>
      <c r="F406" s="52"/>
      <c r="G406" s="52">
        <v>21.75</v>
      </c>
      <c r="H406" s="52"/>
      <c r="I406" s="52"/>
      <c r="J406" s="52"/>
      <c r="K406" s="134"/>
      <c r="L406" s="134"/>
      <c r="M406" s="134"/>
      <c r="N406" s="30"/>
      <c r="O406" s="76"/>
      <c r="P406" s="78"/>
    </row>
    <row r="407" spans="2:16" x14ac:dyDescent="0.25">
      <c r="B407" s="109" t="s">
        <v>21</v>
      </c>
      <c r="C407" s="222" t="s">
        <v>129</v>
      </c>
      <c r="D407" s="72">
        <f t="shared" si="75"/>
        <v>21.75</v>
      </c>
      <c r="E407" s="52"/>
      <c r="F407" s="52"/>
      <c r="G407" s="52">
        <v>21.75</v>
      </c>
      <c r="H407" s="52"/>
      <c r="I407" s="52"/>
      <c r="J407" s="52"/>
      <c r="K407" s="134"/>
      <c r="L407" s="134"/>
      <c r="M407" s="134"/>
      <c r="N407" s="37" t="str">
        <f>IF((D407&lt;=D406)*AND(E407&lt;=E406)*AND(F407&lt;=F406)*AND(G407&lt;=G406)*AND(H407&lt;=H406)*AND(I407&lt;=I406)*AND(K407&lt;=K406)*AND(L407&lt;=L406)*AND(M407&lt;=M406)*AND(J407&lt;=J406),"Выполнено","ПРОВЕРИТЬ (замещённых ставок не может быть больше чем предусмотрено штатным расписанием)")</f>
        <v>Выполнено</v>
      </c>
      <c r="O407" s="76"/>
      <c r="P407" s="46"/>
    </row>
    <row r="408" spans="2:16" s="19" customFormat="1" x14ac:dyDescent="0.25">
      <c r="B408" s="109" t="s">
        <v>137</v>
      </c>
      <c r="C408" s="222" t="s">
        <v>701</v>
      </c>
      <c r="D408" s="72">
        <f t="shared" si="75"/>
        <v>22</v>
      </c>
      <c r="E408" s="52"/>
      <c r="F408" s="52"/>
      <c r="G408" s="52">
        <v>22</v>
      </c>
      <c r="H408" s="52"/>
      <c r="I408" s="52"/>
      <c r="J408" s="52"/>
      <c r="K408" s="134"/>
      <c r="L408" s="134"/>
      <c r="M408" s="134"/>
      <c r="N408" s="51" t="str">
        <f>IF((INT(D408)=D408)*AND(INT(E408)=E408)*AND(INT(F408)=F408)*AND(INT(G408)=G408)*AND(INT(H408)=H408)*AND(INT(I408)=I408)*AND(INT(K408)=K408)*AND(INT(L408)=L408)*AND(INT(M408)=M408)*AND(INT(J408)=J408),"Выполнено","ПРОВЕРИТЬ (число фактически работающих должно быть целым)")</f>
        <v>Выполнено</v>
      </c>
      <c r="O408" s="76"/>
      <c r="P408" s="42"/>
    </row>
    <row r="409" spans="2:16" s="19" customFormat="1" ht="30" x14ac:dyDescent="0.25">
      <c r="B409" s="109" t="s">
        <v>143</v>
      </c>
      <c r="C409" s="222" t="s">
        <v>145</v>
      </c>
      <c r="D409" s="72">
        <f t="shared" si="75"/>
        <v>1</v>
      </c>
      <c r="E409" s="52"/>
      <c r="F409" s="52"/>
      <c r="G409" s="52">
        <v>1</v>
      </c>
      <c r="H409" s="52"/>
      <c r="I409" s="52"/>
      <c r="J409" s="52"/>
      <c r="K409" s="134"/>
      <c r="L409" s="134"/>
      <c r="M409" s="134"/>
      <c r="N409" s="51" t="str">
        <f>IF((INT(D409)=D409)*AND(INT(E409)=E409)*AND(INT(F409)=F409)*AND(INT(G409)=G409)*AND(INT(H409)=H409)*AND(INT(I409)=I409)*AND(INT(K409)=K409)*AND(INT(L409)=L409)*AND(INT(M409)=M409)*AND(INT(J409)=J409),"Выполнено","ПРОВЕРИТЬ (число отсутствующих работников должно быть целым)")</f>
        <v>Выполнено</v>
      </c>
      <c r="O409" s="76"/>
      <c r="P409" s="48"/>
    </row>
    <row r="410" spans="2:16" s="19" customFormat="1" ht="45" x14ac:dyDescent="0.25">
      <c r="B410" s="112" t="s">
        <v>507</v>
      </c>
      <c r="C410" s="223" t="s">
        <v>182</v>
      </c>
      <c r="D410" s="146"/>
      <c r="E410" s="147"/>
      <c r="F410" s="147"/>
      <c r="G410" s="147"/>
      <c r="H410" s="147"/>
      <c r="I410" s="147"/>
      <c r="J410" s="147"/>
      <c r="K410" s="147"/>
      <c r="L410" s="147"/>
      <c r="M410" s="147"/>
      <c r="N410" s="29"/>
      <c r="O410" s="29"/>
      <c r="P410" s="48"/>
    </row>
    <row r="411" spans="2:16" s="19" customFormat="1" ht="45" x14ac:dyDescent="0.25">
      <c r="B411" s="109" t="s">
        <v>510</v>
      </c>
      <c r="C411" s="222" t="s">
        <v>1016</v>
      </c>
      <c r="D411" s="72">
        <f t="shared" si="75"/>
        <v>0</v>
      </c>
      <c r="E411" s="133">
        <f t="shared" ref="E411:M411" si="83">E264</f>
        <v>0</v>
      </c>
      <c r="F411" s="133">
        <f t="shared" si="83"/>
        <v>0</v>
      </c>
      <c r="G411" s="133">
        <f t="shared" si="83"/>
        <v>0</v>
      </c>
      <c r="H411" s="133">
        <f t="shared" si="83"/>
        <v>0</v>
      </c>
      <c r="I411" s="133">
        <f t="shared" si="83"/>
        <v>0</v>
      </c>
      <c r="J411" s="133">
        <f t="shared" si="83"/>
        <v>0</v>
      </c>
      <c r="K411" s="133">
        <f t="shared" si="83"/>
        <v>0</v>
      </c>
      <c r="L411" s="133">
        <f t="shared" si="83"/>
        <v>0</v>
      </c>
      <c r="M411" s="133">
        <f t="shared" si="83"/>
        <v>0</v>
      </c>
      <c r="N411" s="30"/>
      <c r="O411" s="76"/>
      <c r="P411" s="48"/>
    </row>
    <row r="412" spans="2:16" s="19" customFormat="1" x14ac:dyDescent="0.25">
      <c r="B412" s="109" t="s">
        <v>702</v>
      </c>
      <c r="C412" s="222" t="s">
        <v>85</v>
      </c>
      <c r="D412" s="72">
        <f t="shared" si="75"/>
        <v>12</v>
      </c>
      <c r="E412" s="133">
        <f t="shared" ref="E412:M412" si="84">E413+E414</f>
        <v>0</v>
      </c>
      <c r="F412" s="133">
        <f t="shared" si="84"/>
        <v>0</v>
      </c>
      <c r="G412" s="133">
        <f t="shared" si="84"/>
        <v>12</v>
      </c>
      <c r="H412" s="133">
        <f t="shared" si="84"/>
        <v>0</v>
      </c>
      <c r="I412" s="133">
        <f t="shared" si="84"/>
        <v>0</v>
      </c>
      <c r="J412" s="133">
        <f t="shared" si="84"/>
        <v>0</v>
      </c>
      <c r="K412" s="133">
        <f t="shared" si="84"/>
        <v>0</v>
      </c>
      <c r="L412" s="133">
        <f t="shared" si="84"/>
        <v>0</v>
      </c>
      <c r="M412" s="133">
        <f t="shared" si="84"/>
        <v>0</v>
      </c>
      <c r="N412" s="37" t="str">
        <f>IF((D412=D411)*AND(E412=E411)*AND(F412=F411)*AND(G412=G411)*AND(H412=H411)*AND(I412=I411)*AND(K412=K411)*AND(L412=L411)*AND(M412=M411)*AND(J412=J411),"Выполнено","ПРОВЕРИТЬ (в сумме должно получиться общее количество действующих депутатов, избранных населением)")</f>
        <v>ПРОВЕРИТЬ (в сумме должно получиться общее количество действующих депутатов, избранных населением)</v>
      </c>
      <c r="O412" s="76"/>
      <c r="P412" s="48"/>
    </row>
    <row r="413" spans="2:16" s="19" customFormat="1" x14ac:dyDescent="0.25">
      <c r="B413" s="109" t="s">
        <v>703</v>
      </c>
      <c r="C413" s="222" t="s">
        <v>86</v>
      </c>
      <c r="D413" s="72">
        <f t="shared" si="75"/>
        <v>5</v>
      </c>
      <c r="E413" s="52"/>
      <c r="F413" s="52"/>
      <c r="G413" s="52">
        <v>5</v>
      </c>
      <c r="H413" s="52"/>
      <c r="I413" s="52"/>
      <c r="J413" s="52"/>
      <c r="K413" s="134"/>
      <c r="L413" s="134"/>
      <c r="M413" s="134"/>
      <c r="N413" s="30"/>
      <c r="O413" s="76"/>
      <c r="P413" s="42"/>
    </row>
    <row r="414" spans="2:16" s="19" customFormat="1" x14ac:dyDescent="0.25">
      <c r="B414" s="109" t="s">
        <v>704</v>
      </c>
      <c r="C414" s="222" t="s">
        <v>87</v>
      </c>
      <c r="D414" s="72">
        <f t="shared" si="75"/>
        <v>7</v>
      </c>
      <c r="E414" s="52"/>
      <c r="F414" s="52"/>
      <c r="G414" s="52">
        <v>7</v>
      </c>
      <c r="H414" s="52"/>
      <c r="I414" s="52"/>
      <c r="J414" s="52"/>
      <c r="K414" s="134"/>
      <c r="L414" s="134"/>
      <c r="M414" s="134"/>
      <c r="N414" s="30"/>
      <c r="O414" s="76"/>
      <c r="P414" s="48"/>
    </row>
    <row r="415" spans="2:16" s="19" customFormat="1" x14ac:dyDescent="0.25">
      <c r="B415" s="109" t="s">
        <v>705</v>
      </c>
      <c r="C415" s="222" t="s">
        <v>138</v>
      </c>
      <c r="D415" s="72">
        <f t="shared" si="75"/>
        <v>12</v>
      </c>
      <c r="E415" s="133">
        <f t="shared" ref="E415:M415" si="85">SUM(E416:E418)</f>
        <v>0</v>
      </c>
      <c r="F415" s="133">
        <f t="shared" si="85"/>
        <v>0</v>
      </c>
      <c r="G415" s="133">
        <f t="shared" si="85"/>
        <v>12</v>
      </c>
      <c r="H415" s="133">
        <f t="shared" si="85"/>
        <v>0</v>
      </c>
      <c r="I415" s="133">
        <f t="shared" si="85"/>
        <v>0</v>
      </c>
      <c r="J415" s="133">
        <f>SUM(J416:J418)</f>
        <v>0</v>
      </c>
      <c r="K415" s="133">
        <f t="shared" si="85"/>
        <v>0</v>
      </c>
      <c r="L415" s="133">
        <f t="shared" si="85"/>
        <v>0</v>
      </c>
      <c r="M415" s="133">
        <f t="shared" si="85"/>
        <v>0</v>
      </c>
      <c r="N415" s="37" t="str">
        <f>IF((D415=D411)*AND(E415=E411)*AND(F415=F411)*AND(G415=G411)*AND(H415=H411)*AND(I415=I411)*AND(K415=K411)*AND(L415=L411)*AND(M415=M411)*AND(J415=J411),"Выполнено","ПРОВЕРИТЬ (в сумме должно получиться общее количество действующих депутатов, избранных населением)")</f>
        <v>ПРОВЕРИТЬ (в сумме должно получиться общее количество действующих депутатов, избранных населением)</v>
      </c>
      <c r="O415" s="76"/>
      <c r="P415" s="48"/>
    </row>
    <row r="416" spans="2:16" s="19" customFormat="1" x14ac:dyDescent="0.25">
      <c r="B416" s="109" t="s">
        <v>706</v>
      </c>
      <c r="C416" s="222" t="s">
        <v>302</v>
      </c>
      <c r="D416" s="72">
        <f t="shared" si="75"/>
        <v>1</v>
      </c>
      <c r="E416" s="52"/>
      <c r="F416" s="52"/>
      <c r="G416" s="52">
        <v>1</v>
      </c>
      <c r="H416" s="52"/>
      <c r="I416" s="52"/>
      <c r="J416" s="52"/>
      <c r="K416" s="134"/>
      <c r="L416" s="134"/>
      <c r="M416" s="134"/>
      <c r="N416" s="30"/>
      <c r="O416" s="76"/>
      <c r="P416" s="48"/>
    </row>
    <row r="417" spans="2:16" s="19" customFormat="1" x14ac:dyDescent="0.25">
      <c r="B417" s="109" t="s">
        <v>707</v>
      </c>
      <c r="C417" s="222" t="s">
        <v>303</v>
      </c>
      <c r="D417" s="72">
        <f t="shared" si="75"/>
        <v>11</v>
      </c>
      <c r="E417" s="52"/>
      <c r="F417" s="52"/>
      <c r="G417" s="52">
        <v>11</v>
      </c>
      <c r="H417" s="52"/>
      <c r="I417" s="52"/>
      <c r="J417" s="52"/>
      <c r="K417" s="134"/>
      <c r="L417" s="134"/>
      <c r="M417" s="134"/>
      <c r="N417" s="30"/>
      <c r="O417" s="76"/>
      <c r="P417" s="48"/>
    </row>
    <row r="418" spans="2:16" s="19" customFormat="1" x14ac:dyDescent="0.25">
      <c r="B418" s="109" t="s">
        <v>708</v>
      </c>
      <c r="C418" s="222" t="s">
        <v>88</v>
      </c>
      <c r="D418" s="72">
        <f t="shared" si="75"/>
        <v>0</v>
      </c>
      <c r="E418" s="52"/>
      <c r="F418" s="52"/>
      <c r="G418" s="52"/>
      <c r="H418" s="52"/>
      <c r="I418" s="52"/>
      <c r="J418" s="52"/>
      <c r="K418" s="134"/>
      <c r="L418" s="134"/>
      <c r="M418" s="134"/>
      <c r="N418" s="30"/>
      <c r="O418" s="76"/>
      <c r="P418" s="45"/>
    </row>
    <row r="419" spans="2:16" s="19" customFormat="1" x14ac:dyDescent="0.25">
      <c r="B419" s="109" t="s">
        <v>709</v>
      </c>
      <c r="C419" s="222" t="s">
        <v>304</v>
      </c>
      <c r="D419" s="72">
        <f t="shared" si="75"/>
        <v>2</v>
      </c>
      <c r="E419" s="52"/>
      <c r="F419" s="52"/>
      <c r="G419" s="52">
        <v>2</v>
      </c>
      <c r="H419" s="52"/>
      <c r="I419" s="52"/>
      <c r="J419" s="52"/>
      <c r="K419" s="134"/>
      <c r="L419" s="134"/>
      <c r="M419" s="134"/>
      <c r="N419" s="37" t="str">
        <f>IF((D419&lt;=D411)*AND(E419&lt;=E411)*AND(F419&lt;=F411)*AND(G419&lt;=G411)*AND(H419&lt;=H411)*AND(I419&lt;=I411)*AND(K419&lt;=K411)*AND(L419&lt;=L411)*AND(M419&lt;=M411)*AND(J419&lt;=J411),"Выполнено","ПРОВЕРИТЬ (их не может быть больше общего числа действующих депутатов, избранных населением)")</f>
        <v>ПРОВЕРИТЬ (их не может быть больше общего числа действующих депутатов, избранных населением)</v>
      </c>
      <c r="O419" s="76"/>
      <c r="P419" s="42"/>
    </row>
    <row r="420" spans="2:16" s="19" customFormat="1" x14ac:dyDescent="0.25">
      <c r="B420" s="107" t="s">
        <v>710</v>
      </c>
      <c r="C420" s="216" t="s">
        <v>139</v>
      </c>
      <c r="D420" s="72">
        <f t="shared" ref="D420" si="86">SUM(E420:I420)+SUM(K420:M420)</f>
        <v>0</v>
      </c>
      <c r="E420" s="52"/>
      <c r="F420" s="52"/>
      <c r="G420" s="52"/>
      <c r="H420" s="52"/>
      <c r="I420" s="52"/>
      <c r="J420" s="52"/>
      <c r="K420" s="134"/>
      <c r="L420" s="134"/>
      <c r="M420" s="134"/>
      <c r="N420" s="37" t="str">
        <f>IF((D420&lt;=D411)*AND(E420&lt;=E411)*AND(F420&lt;=F411)*AND(G420&lt;=G411)*AND(H420&lt;=H411)*AND(I420&lt;=I411)*AND(K420&lt;=K411)*AND(L420&lt;=L411)*AND(M420&lt;=M411)*AND(J420&lt;=J411),"Выполнено","ПРОВЕРИТЬ (их не может быть больше общего числа действующих депутатов, избранных населением)")</f>
        <v>Выполнено</v>
      </c>
      <c r="O420" s="76"/>
      <c r="P420" s="48"/>
    </row>
    <row r="421" spans="2:16" s="19" customFormat="1" ht="45" x14ac:dyDescent="0.25">
      <c r="B421" s="109" t="s">
        <v>508</v>
      </c>
      <c r="C421" s="222" t="s">
        <v>1017</v>
      </c>
      <c r="D421" s="72">
        <f>E421+K421</f>
        <v>0</v>
      </c>
      <c r="E421" s="133">
        <f>E270</f>
        <v>0</v>
      </c>
      <c r="F421" s="151"/>
      <c r="G421" s="151"/>
      <c r="H421" s="151"/>
      <c r="I421" s="151"/>
      <c r="J421" s="151"/>
      <c r="K421" s="133">
        <f>K270</f>
        <v>0</v>
      </c>
      <c r="L421" s="151"/>
      <c r="M421" s="151"/>
      <c r="N421" s="30"/>
      <c r="O421" s="76"/>
      <c r="P421" s="45"/>
    </row>
    <row r="422" spans="2:16" x14ac:dyDescent="0.25">
      <c r="B422" s="109" t="s">
        <v>711</v>
      </c>
      <c r="C422" s="222" t="s">
        <v>85</v>
      </c>
      <c r="D422" s="72">
        <f t="shared" ref="D422:D430" si="87">E422+K422</f>
        <v>0</v>
      </c>
      <c r="E422" s="133">
        <f t="shared" ref="E422" si="88">E423+E424</f>
        <v>0</v>
      </c>
      <c r="F422" s="151"/>
      <c r="G422" s="151"/>
      <c r="H422" s="151"/>
      <c r="I422" s="151"/>
      <c r="J422" s="151"/>
      <c r="K422" s="133">
        <f t="shared" ref="K422" si="89">K423+K424</f>
        <v>0</v>
      </c>
      <c r="L422" s="151"/>
      <c r="M422" s="151"/>
      <c r="N422" s="37" t="str">
        <f>IF((E422=E421)*AND(K422=K421),"Выполнено","ПРОВЕРИТЬ (в сумме должно получиться общее количество действующих депутатов, избранных путем делегирования)")</f>
        <v>Выполнено</v>
      </c>
      <c r="O422" s="76"/>
      <c r="P422" s="48"/>
    </row>
    <row r="423" spans="2:16" x14ac:dyDescent="0.25">
      <c r="B423" s="109" t="s">
        <v>712</v>
      </c>
      <c r="C423" s="222" t="s">
        <v>86</v>
      </c>
      <c r="D423" s="72">
        <f t="shared" si="87"/>
        <v>0</v>
      </c>
      <c r="E423" s="134"/>
      <c r="F423" s="151"/>
      <c r="G423" s="151"/>
      <c r="H423" s="151"/>
      <c r="I423" s="151"/>
      <c r="J423" s="151"/>
      <c r="K423" s="134"/>
      <c r="L423" s="151"/>
      <c r="M423" s="151"/>
      <c r="N423" s="30"/>
      <c r="O423" s="76"/>
      <c r="P423" s="48"/>
    </row>
    <row r="424" spans="2:16" x14ac:dyDescent="0.25">
      <c r="B424" s="109" t="s">
        <v>713</v>
      </c>
      <c r="C424" s="222" t="s">
        <v>87</v>
      </c>
      <c r="D424" s="72">
        <f t="shared" si="87"/>
        <v>0</v>
      </c>
      <c r="E424" s="134"/>
      <c r="F424" s="151"/>
      <c r="G424" s="151"/>
      <c r="H424" s="151"/>
      <c r="I424" s="151"/>
      <c r="J424" s="151"/>
      <c r="K424" s="134"/>
      <c r="L424" s="151"/>
      <c r="M424" s="151"/>
      <c r="N424" s="30"/>
      <c r="O424" s="76"/>
      <c r="P424" s="48"/>
    </row>
    <row r="425" spans="2:16" x14ac:dyDescent="0.25">
      <c r="B425" s="109" t="s">
        <v>714</v>
      </c>
      <c r="C425" s="222" t="s">
        <v>138</v>
      </c>
      <c r="D425" s="72">
        <f t="shared" si="87"/>
        <v>0</v>
      </c>
      <c r="E425" s="133">
        <f>SUM(E426:E428)</f>
        <v>0</v>
      </c>
      <c r="F425" s="151"/>
      <c r="G425" s="151"/>
      <c r="H425" s="151"/>
      <c r="I425" s="151"/>
      <c r="J425" s="151"/>
      <c r="K425" s="133">
        <f>SUM(K426:K428)</f>
        <v>0</v>
      </c>
      <c r="L425" s="151"/>
      <c r="M425" s="151"/>
      <c r="N425" s="37" t="str">
        <f>IF((E425=E421)*AND(K425=K421),"Выполнено","ПРОВЕРИТЬ (в сумме должно получиться общее количество действующих депутатов, избранных путем делегирования)")</f>
        <v>Выполнено</v>
      </c>
      <c r="O425" s="76"/>
      <c r="P425" s="48"/>
    </row>
    <row r="426" spans="2:16" x14ac:dyDescent="0.25">
      <c r="B426" s="109" t="s">
        <v>715</v>
      </c>
      <c r="C426" s="222" t="s">
        <v>302</v>
      </c>
      <c r="D426" s="72">
        <f t="shared" si="87"/>
        <v>0</v>
      </c>
      <c r="E426" s="134"/>
      <c r="F426" s="151"/>
      <c r="G426" s="151"/>
      <c r="H426" s="151"/>
      <c r="I426" s="151"/>
      <c r="J426" s="151"/>
      <c r="K426" s="134"/>
      <c r="L426" s="151"/>
      <c r="M426" s="151"/>
      <c r="N426" s="30"/>
      <c r="O426" s="76"/>
      <c r="P426" s="48"/>
    </row>
    <row r="427" spans="2:16" x14ac:dyDescent="0.25">
      <c r="B427" s="109" t="s">
        <v>716</v>
      </c>
      <c r="C427" s="222" t="s">
        <v>303</v>
      </c>
      <c r="D427" s="72">
        <f t="shared" si="87"/>
        <v>0</v>
      </c>
      <c r="E427" s="134"/>
      <c r="F427" s="151"/>
      <c r="G427" s="151"/>
      <c r="H427" s="151"/>
      <c r="I427" s="151"/>
      <c r="J427" s="151"/>
      <c r="K427" s="134"/>
      <c r="L427" s="151"/>
      <c r="M427" s="151"/>
      <c r="N427" s="30"/>
      <c r="O427" s="76"/>
      <c r="P427" s="48"/>
    </row>
    <row r="428" spans="2:16" x14ac:dyDescent="0.25">
      <c r="B428" s="109" t="s">
        <v>717</v>
      </c>
      <c r="C428" s="222" t="s">
        <v>88</v>
      </c>
      <c r="D428" s="72">
        <f t="shared" si="87"/>
        <v>0</v>
      </c>
      <c r="E428" s="134"/>
      <c r="F428" s="151"/>
      <c r="G428" s="151"/>
      <c r="H428" s="151"/>
      <c r="I428" s="151"/>
      <c r="J428" s="151"/>
      <c r="K428" s="134"/>
      <c r="L428" s="151"/>
      <c r="M428" s="151"/>
      <c r="N428" s="30"/>
      <c r="O428" s="76"/>
      <c r="P428" s="48"/>
    </row>
    <row r="429" spans="2:16" x14ac:dyDescent="0.25">
      <c r="B429" s="109" t="s">
        <v>718</v>
      </c>
      <c r="C429" s="222" t="s">
        <v>305</v>
      </c>
      <c r="D429" s="72">
        <f t="shared" si="87"/>
        <v>0</v>
      </c>
      <c r="E429" s="134"/>
      <c r="F429" s="151"/>
      <c r="G429" s="151"/>
      <c r="H429" s="151"/>
      <c r="I429" s="151"/>
      <c r="J429" s="151"/>
      <c r="K429" s="134"/>
      <c r="L429" s="151"/>
      <c r="M429" s="151"/>
      <c r="N429" s="37" t="str">
        <f>IF((E429&lt;=E421)*AND(K429&lt;=K421),"Выполнено","ПРОВЕРИТЬ (их не может быть больше общего числа действующих депутатов, избранных путем делегирования)")</f>
        <v>Выполнено</v>
      </c>
      <c r="O429" s="76"/>
      <c r="P429" s="48"/>
    </row>
    <row r="430" spans="2:16" x14ac:dyDescent="0.25">
      <c r="B430" s="107" t="s">
        <v>719</v>
      </c>
      <c r="C430" s="216" t="s">
        <v>139</v>
      </c>
      <c r="D430" s="72">
        <f t="shared" si="87"/>
        <v>0</v>
      </c>
      <c r="E430" s="134"/>
      <c r="F430" s="151"/>
      <c r="G430" s="151"/>
      <c r="H430" s="151"/>
      <c r="I430" s="151"/>
      <c r="J430" s="151"/>
      <c r="K430" s="134"/>
      <c r="L430" s="151"/>
      <c r="M430" s="151"/>
      <c r="N430" s="37" t="str">
        <f>IF((E430&lt;=E421)*AND(K430&lt;=K421),"Выполнено","ПРОВЕРИТЬ (их не может быть больше общего числа действующих депутатов, избранных путем делегирования)")</f>
        <v>Выполнено</v>
      </c>
      <c r="O430" s="76"/>
      <c r="P430" s="48"/>
    </row>
    <row r="431" spans="2:16" s="21" customFormat="1" x14ac:dyDescent="0.25">
      <c r="B431" s="109" t="s">
        <v>509</v>
      </c>
      <c r="C431" s="222" t="s">
        <v>1018</v>
      </c>
      <c r="D431" s="72">
        <f t="shared" ref="D431:D440" si="90">SUM(E431:I431)+SUM(K431:M431)-D441</f>
        <v>2</v>
      </c>
      <c r="E431" s="133">
        <f t="shared" ref="E431:M431" si="91">E309</f>
        <v>0</v>
      </c>
      <c r="F431" s="133">
        <f t="shared" si="91"/>
        <v>0</v>
      </c>
      <c r="G431" s="133">
        <f t="shared" si="91"/>
        <v>2</v>
      </c>
      <c r="H431" s="133">
        <f t="shared" si="91"/>
        <v>0</v>
      </c>
      <c r="I431" s="133">
        <f t="shared" si="91"/>
        <v>0</v>
      </c>
      <c r="J431" s="133">
        <f t="shared" si="91"/>
        <v>0</v>
      </c>
      <c r="K431" s="133">
        <f t="shared" si="91"/>
        <v>0</v>
      </c>
      <c r="L431" s="133">
        <f t="shared" si="91"/>
        <v>0</v>
      </c>
      <c r="M431" s="133">
        <f t="shared" si="91"/>
        <v>0</v>
      </c>
      <c r="N431" s="30"/>
      <c r="O431" s="84" t="str">
        <f>IF(((D336=D441)),"   ","Подсказка - если есть т.н. главы совместители (п.13.11), контрольные соотношения по 20.3 будут корректно работать только после заполнения 20.4")</f>
        <v xml:space="preserve">   </v>
      </c>
      <c r="P431" s="48"/>
    </row>
    <row r="432" spans="2:16" s="21" customFormat="1" x14ac:dyDescent="0.25">
      <c r="B432" s="109" t="s">
        <v>720</v>
      </c>
      <c r="C432" s="222" t="s">
        <v>85</v>
      </c>
      <c r="D432" s="72">
        <f t="shared" si="90"/>
        <v>1</v>
      </c>
      <c r="E432" s="133">
        <f t="shared" ref="E432:M432" si="92">E433+E434</f>
        <v>0</v>
      </c>
      <c r="F432" s="133">
        <f t="shared" si="92"/>
        <v>0</v>
      </c>
      <c r="G432" s="133">
        <f t="shared" si="92"/>
        <v>1</v>
      </c>
      <c r="H432" s="133">
        <f t="shared" si="92"/>
        <v>0</v>
      </c>
      <c r="I432" s="133">
        <f t="shared" si="92"/>
        <v>0</v>
      </c>
      <c r="J432" s="133">
        <f t="shared" si="92"/>
        <v>0</v>
      </c>
      <c r="K432" s="133">
        <f t="shared" si="92"/>
        <v>0</v>
      </c>
      <c r="L432" s="133">
        <f t="shared" si="92"/>
        <v>0</v>
      </c>
      <c r="M432" s="133">
        <f t="shared" si="92"/>
        <v>0</v>
      </c>
      <c r="N432" s="37" t="str">
        <f>IF((D432=D431)*AND(E432=E431)*AND(F432=F431)*AND(G432=G431)*AND(H432=H431)*AND(I432=I431)*AND(K432=K431)*AND(L432=L431)*AND(M432=M431)*AND(J432=J431),"Выполнено","ПРОВЕРИТЬ (в сумме должно получиться общее количество действующих глав)")</f>
        <v>ПРОВЕРИТЬ (в сумме должно получиться общее количество действующих глав)</v>
      </c>
      <c r="O432" s="76"/>
      <c r="P432" s="48"/>
    </row>
    <row r="433" spans="2:16" s="21" customFormat="1" x14ac:dyDescent="0.25">
      <c r="B433" s="109" t="s">
        <v>721</v>
      </c>
      <c r="C433" s="222" t="s">
        <v>86</v>
      </c>
      <c r="D433" s="72">
        <f t="shared" si="90"/>
        <v>0</v>
      </c>
      <c r="E433" s="134"/>
      <c r="F433" s="134"/>
      <c r="G433" s="134"/>
      <c r="H433" s="134"/>
      <c r="I433" s="134"/>
      <c r="J433" s="134"/>
      <c r="K433" s="134"/>
      <c r="L433" s="134"/>
      <c r="M433" s="134"/>
      <c r="N433" s="30"/>
      <c r="O433" s="76"/>
      <c r="P433" s="48"/>
    </row>
    <row r="434" spans="2:16" s="21" customFormat="1" x14ac:dyDescent="0.25">
      <c r="B434" s="109" t="s">
        <v>722</v>
      </c>
      <c r="C434" s="222" t="s">
        <v>87</v>
      </c>
      <c r="D434" s="72">
        <f t="shared" si="90"/>
        <v>1</v>
      </c>
      <c r="E434" s="134"/>
      <c r="F434" s="134"/>
      <c r="G434" s="134">
        <v>1</v>
      </c>
      <c r="H434" s="134"/>
      <c r="I434" s="134"/>
      <c r="J434" s="134"/>
      <c r="K434" s="134"/>
      <c r="L434" s="134"/>
      <c r="M434" s="134"/>
      <c r="N434" s="30"/>
      <c r="O434" s="76"/>
      <c r="P434" s="48"/>
    </row>
    <row r="435" spans="2:16" s="21" customFormat="1" x14ac:dyDescent="0.25">
      <c r="B435" s="109" t="s">
        <v>723</v>
      </c>
      <c r="C435" s="222" t="s">
        <v>138</v>
      </c>
      <c r="D435" s="72">
        <f t="shared" si="90"/>
        <v>1</v>
      </c>
      <c r="E435" s="133">
        <f t="shared" ref="E435:M435" si="93">SUM(E436:E438)</f>
        <v>0</v>
      </c>
      <c r="F435" s="133">
        <f t="shared" si="93"/>
        <v>0</v>
      </c>
      <c r="G435" s="133">
        <f t="shared" si="93"/>
        <v>1</v>
      </c>
      <c r="H435" s="133">
        <f t="shared" si="93"/>
        <v>0</v>
      </c>
      <c r="I435" s="133">
        <f t="shared" si="93"/>
        <v>0</v>
      </c>
      <c r="J435" s="133">
        <f>SUM(J436:J438)</f>
        <v>0</v>
      </c>
      <c r="K435" s="133">
        <f t="shared" si="93"/>
        <v>0</v>
      </c>
      <c r="L435" s="133">
        <f t="shared" si="93"/>
        <v>0</v>
      </c>
      <c r="M435" s="133">
        <f t="shared" si="93"/>
        <v>0</v>
      </c>
      <c r="N435" s="37" t="str">
        <f>IF((D435=D431)*AND(E435=E431)*AND(F435=F431)*AND(G435=G431)*AND(H435=H431)*AND(I435=I431)*AND(K435=K431)*AND(L435=L431)*AND(M435=M431)*AND(J435=J431),"Выполнено","ПРОВЕРИТЬ (в сумме должно получиться общее количество действующих глав)")</f>
        <v>ПРОВЕРИТЬ (в сумме должно получиться общее количество действующих глав)</v>
      </c>
      <c r="O435" s="76"/>
      <c r="P435" s="48"/>
    </row>
    <row r="436" spans="2:16" s="21" customFormat="1" x14ac:dyDescent="0.25">
      <c r="B436" s="109" t="s">
        <v>724</v>
      </c>
      <c r="C436" s="222" t="s">
        <v>302</v>
      </c>
      <c r="D436" s="72">
        <f t="shared" si="90"/>
        <v>0</v>
      </c>
      <c r="E436" s="134"/>
      <c r="F436" s="134"/>
      <c r="G436" s="134"/>
      <c r="H436" s="134"/>
      <c r="I436" s="134"/>
      <c r="J436" s="134"/>
      <c r="K436" s="134"/>
      <c r="L436" s="134"/>
      <c r="M436" s="134"/>
      <c r="N436" s="30"/>
      <c r="O436" s="76"/>
      <c r="P436" s="48"/>
    </row>
    <row r="437" spans="2:16" s="73" customFormat="1" x14ac:dyDescent="0.25">
      <c r="B437" s="109" t="s">
        <v>725</v>
      </c>
      <c r="C437" s="222" t="s">
        <v>303</v>
      </c>
      <c r="D437" s="72">
        <f t="shared" si="90"/>
        <v>1</v>
      </c>
      <c r="E437" s="134"/>
      <c r="F437" s="134"/>
      <c r="G437" s="52">
        <v>1</v>
      </c>
      <c r="H437" s="52"/>
      <c r="I437" s="134"/>
      <c r="J437" s="134"/>
      <c r="K437" s="134"/>
      <c r="L437" s="134"/>
      <c r="M437" s="134"/>
      <c r="N437" s="30"/>
      <c r="O437" s="76"/>
      <c r="P437" s="78"/>
    </row>
    <row r="438" spans="2:16" s="73" customFormat="1" x14ac:dyDescent="0.25">
      <c r="B438" s="109" t="s">
        <v>726</v>
      </c>
      <c r="C438" s="222" t="s">
        <v>88</v>
      </c>
      <c r="D438" s="72">
        <f t="shared" si="90"/>
        <v>0</v>
      </c>
      <c r="E438" s="134"/>
      <c r="F438" s="134"/>
      <c r="G438" s="52"/>
      <c r="H438" s="52"/>
      <c r="I438" s="134"/>
      <c r="J438" s="134"/>
      <c r="K438" s="134"/>
      <c r="L438" s="134"/>
      <c r="M438" s="134"/>
      <c r="N438" s="30"/>
      <c r="O438" s="76"/>
      <c r="P438" s="78"/>
    </row>
    <row r="439" spans="2:16" s="73" customFormat="1" x14ac:dyDescent="0.25">
      <c r="B439" s="107" t="s">
        <v>727</v>
      </c>
      <c r="C439" s="222" t="s">
        <v>388</v>
      </c>
      <c r="D439" s="72">
        <f t="shared" si="90"/>
        <v>1</v>
      </c>
      <c r="E439" s="52"/>
      <c r="F439" s="52"/>
      <c r="G439" s="52">
        <v>1</v>
      </c>
      <c r="H439" s="52"/>
      <c r="I439" s="52"/>
      <c r="J439" s="52"/>
      <c r="K439" s="134"/>
      <c r="L439" s="134"/>
      <c r="M439" s="134"/>
      <c r="N439" s="37" t="str">
        <f>IF((D439&lt;=D431)*AND(E439&lt;=E431)*AND(F439&lt;=F431)*AND(G439&lt;=G431)*AND(H439&lt;=H431)*AND(I439&lt;=I431)*AND(K439&lt;=K431)*AND(L439&lt;=L431)*AND(M439&lt;=M431)*AND(J439&lt;=J431),"Выполнено","ПРОВЕРИТЬ (их не может быть больше общего числа действующих глав, избранных населением)")</f>
        <v>Выполнено</v>
      </c>
      <c r="O439" s="76"/>
      <c r="P439" s="78"/>
    </row>
    <row r="440" spans="2:16" x14ac:dyDescent="0.25">
      <c r="B440" s="109" t="s">
        <v>728</v>
      </c>
      <c r="C440" s="222" t="s">
        <v>139</v>
      </c>
      <c r="D440" s="72">
        <f t="shared" si="90"/>
        <v>0</v>
      </c>
      <c r="E440" s="52"/>
      <c r="F440" s="52"/>
      <c r="G440" s="52"/>
      <c r="H440" s="52"/>
      <c r="I440" s="52"/>
      <c r="J440" s="52"/>
      <c r="K440" s="134"/>
      <c r="L440" s="134"/>
      <c r="M440" s="134"/>
      <c r="N440" s="37" t="str">
        <f>IF((D440&lt;=D431)*AND(E440&lt;=E431)*AND(F440&lt;=F431)*AND(G440&lt;=G431)*AND(H440&lt;=H431)*AND(I440&lt;=I431)*AND(K440&lt;=K431)*AND(L440&lt;=L431)*AND(M440&lt;=M431)*AND(J440&lt;=J431),"Выполнено","ПРОВЕРИТЬ (их не может быть больше общего числа действующих глав, избранных населением)")</f>
        <v>Выполнено</v>
      </c>
      <c r="O440" s="76"/>
      <c r="P440" s="42"/>
    </row>
    <row r="441" spans="2:16" s="21" customFormat="1" ht="75" x14ac:dyDescent="0.25">
      <c r="B441" s="109" t="s">
        <v>729</v>
      </c>
      <c r="C441" s="222" t="s">
        <v>140</v>
      </c>
      <c r="D441" s="72">
        <f>D336</f>
        <v>0</v>
      </c>
      <c r="E441" s="138"/>
      <c r="F441" s="139"/>
      <c r="G441" s="139"/>
      <c r="H441" s="139"/>
      <c r="I441" s="139"/>
      <c r="J441" s="140"/>
      <c r="K441" s="139"/>
      <c r="L441" s="139"/>
      <c r="M441" s="139"/>
      <c r="N441" s="30"/>
      <c r="O441" s="76"/>
      <c r="P441" s="48"/>
    </row>
    <row r="442" spans="2:16" s="21" customFormat="1" x14ac:dyDescent="0.25">
      <c r="B442" s="109" t="s">
        <v>730</v>
      </c>
      <c r="C442" s="222" t="s">
        <v>85</v>
      </c>
      <c r="D442" s="133">
        <f t="shared" ref="D442" si="94">D443+D444</f>
        <v>0</v>
      </c>
      <c r="E442" s="150"/>
      <c r="F442" s="151"/>
      <c r="G442" s="151"/>
      <c r="H442" s="151"/>
      <c r="I442" s="151"/>
      <c r="J442" s="152"/>
      <c r="K442" s="151"/>
      <c r="L442" s="151"/>
      <c r="M442" s="151"/>
      <c r="N442" s="37" t="str">
        <f>IF((D442=D441),"Выполнено","ПРОВЕРИТЬ (в сумме должно получиться общее количество действующих глав)")</f>
        <v>Выполнено</v>
      </c>
      <c r="O442" s="76"/>
      <c r="P442" s="48"/>
    </row>
    <row r="443" spans="2:16" s="21" customFormat="1" x14ac:dyDescent="0.25">
      <c r="B443" s="109" t="s">
        <v>731</v>
      </c>
      <c r="C443" s="222" t="s">
        <v>86</v>
      </c>
      <c r="D443" s="134"/>
      <c r="E443" s="150"/>
      <c r="F443" s="151"/>
      <c r="G443" s="151"/>
      <c r="H443" s="151"/>
      <c r="I443" s="151"/>
      <c r="J443" s="152"/>
      <c r="K443" s="151"/>
      <c r="L443" s="151"/>
      <c r="M443" s="151"/>
      <c r="N443" s="30"/>
      <c r="O443" s="76"/>
      <c r="P443" s="48"/>
    </row>
    <row r="444" spans="2:16" s="21" customFormat="1" x14ac:dyDescent="0.25">
      <c r="B444" s="109" t="s">
        <v>732</v>
      </c>
      <c r="C444" s="222" t="s">
        <v>87</v>
      </c>
      <c r="D444" s="134"/>
      <c r="E444" s="150"/>
      <c r="F444" s="151"/>
      <c r="G444" s="151"/>
      <c r="H444" s="151"/>
      <c r="I444" s="151"/>
      <c r="J444" s="152"/>
      <c r="K444" s="151"/>
      <c r="L444" s="151"/>
      <c r="M444" s="151"/>
      <c r="N444" s="30"/>
      <c r="O444" s="76"/>
      <c r="P444" s="48"/>
    </row>
    <row r="445" spans="2:16" s="21" customFormat="1" x14ac:dyDescent="0.25">
      <c r="B445" s="109" t="s">
        <v>733</v>
      </c>
      <c r="C445" s="222" t="s">
        <v>138</v>
      </c>
      <c r="D445" s="133">
        <f t="shared" ref="D445" si="95">SUM(D446:D448)</f>
        <v>0</v>
      </c>
      <c r="E445" s="150"/>
      <c r="F445" s="151"/>
      <c r="G445" s="151"/>
      <c r="H445" s="151"/>
      <c r="I445" s="151"/>
      <c r="J445" s="152"/>
      <c r="K445" s="151"/>
      <c r="L445" s="151"/>
      <c r="M445" s="151"/>
      <c r="N445" s="37" t="str">
        <f>IF((D445=D441),"Выполнено","ПРОВЕРИТЬ (в сумме должно получиться общее количество действующих глав)")</f>
        <v>Выполнено</v>
      </c>
      <c r="O445" s="76"/>
      <c r="P445" s="48"/>
    </row>
    <row r="446" spans="2:16" s="21" customFormat="1" x14ac:dyDescent="0.25">
      <c r="B446" s="109" t="s">
        <v>734</v>
      </c>
      <c r="C446" s="222" t="s">
        <v>302</v>
      </c>
      <c r="D446" s="134"/>
      <c r="E446" s="150"/>
      <c r="F446" s="151"/>
      <c r="G446" s="151"/>
      <c r="H446" s="151"/>
      <c r="I446" s="151"/>
      <c r="J446" s="152"/>
      <c r="K446" s="151"/>
      <c r="L446" s="151"/>
      <c r="M446" s="151"/>
      <c r="N446" s="30"/>
      <c r="O446" s="76"/>
      <c r="P446" s="42"/>
    </row>
    <row r="447" spans="2:16" s="21" customFormat="1" x14ac:dyDescent="0.25">
      <c r="B447" s="109" t="s">
        <v>735</v>
      </c>
      <c r="C447" s="222" t="s">
        <v>303</v>
      </c>
      <c r="D447" s="134"/>
      <c r="E447" s="150"/>
      <c r="F447" s="151"/>
      <c r="G447" s="151"/>
      <c r="H447" s="151"/>
      <c r="I447" s="151"/>
      <c r="J447" s="152"/>
      <c r="K447" s="151"/>
      <c r="L447" s="151"/>
      <c r="M447" s="151"/>
      <c r="N447" s="30"/>
      <c r="O447" s="76"/>
      <c r="P447" s="45"/>
    </row>
    <row r="448" spans="2:16" s="21" customFormat="1" x14ac:dyDescent="0.25">
      <c r="B448" s="109" t="s">
        <v>736</v>
      </c>
      <c r="C448" s="222" t="s">
        <v>88</v>
      </c>
      <c r="D448" s="134"/>
      <c r="E448" s="150"/>
      <c r="F448" s="151"/>
      <c r="G448" s="151"/>
      <c r="H448" s="151"/>
      <c r="I448" s="151"/>
      <c r="J448" s="152"/>
      <c r="K448" s="151"/>
      <c r="L448" s="151"/>
      <c r="M448" s="151"/>
      <c r="N448" s="30"/>
      <c r="O448" s="76"/>
      <c r="P448" s="48"/>
    </row>
    <row r="449" spans="2:16" s="21" customFormat="1" x14ac:dyDescent="0.25">
      <c r="B449" s="109" t="s">
        <v>737</v>
      </c>
      <c r="C449" s="222" t="s">
        <v>388</v>
      </c>
      <c r="D449" s="134"/>
      <c r="E449" s="150"/>
      <c r="F449" s="151"/>
      <c r="G449" s="151"/>
      <c r="H449" s="151"/>
      <c r="I449" s="151"/>
      <c r="J449" s="152"/>
      <c r="K449" s="151"/>
      <c r="L449" s="151"/>
      <c r="M449" s="151"/>
      <c r="N449" s="37" t="str">
        <f>IF((D449&lt;=D441),"Выполнено","ПРОВЕРИТЬ (их не может быть больше общего числа действующих глав)")</f>
        <v>Выполнено</v>
      </c>
      <c r="O449" s="76"/>
      <c r="P449" s="48"/>
    </row>
    <row r="450" spans="2:16" x14ac:dyDescent="0.25">
      <c r="B450" s="109" t="s">
        <v>738</v>
      </c>
      <c r="C450" s="222" t="s">
        <v>139</v>
      </c>
      <c r="D450" s="134"/>
      <c r="E450" s="150"/>
      <c r="F450" s="151"/>
      <c r="G450" s="151"/>
      <c r="H450" s="151"/>
      <c r="I450" s="151"/>
      <c r="J450" s="152"/>
      <c r="K450" s="151"/>
      <c r="L450" s="151"/>
      <c r="M450" s="151"/>
      <c r="N450" s="37" t="str">
        <f>IF((D450&lt;=D441),"Выполнено","ПРОВЕРИТЬ (их не может быть больше общего числа действующих глав)")</f>
        <v>Выполнено</v>
      </c>
      <c r="O450" s="76"/>
      <c r="P450" s="49"/>
    </row>
    <row r="451" spans="2:16" s="21" customFormat="1" ht="60" x14ac:dyDescent="0.25">
      <c r="B451" s="109" t="s">
        <v>739</v>
      </c>
      <c r="C451" s="222" t="s">
        <v>1012</v>
      </c>
      <c r="D451" s="72">
        <f t="shared" ref="D451:D496" si="96">SUM(E451:I451)+SUM(K451:M451)</f>
        <v>1</v>
      </c>
      <c r="E451" s="133">
        <f t="shared" ref="E451:M451" si="97">E359</f>
        <v>0</v>
      </c>
      <c r="F451" s="133">
        <f t="shared" si="97"/>
        <v>0</v>
      </c>
      <c r="G451" s="133">
        <f t="shared" si="97"/>
        <v>1</v>
      </c>
      <c r="H451" s="133">
        <f t="shared" si="97"/>
        <v>0</v>
      </c>
      <c r="I451" s="133">
        <f t="shared" si="97"/>
        <v>0</v>
      </c>
      <c r="J451" s="133">
        <f t="shared" si="97"/>
        <v>0</v>
      </c>
      <c r="K451" s="133">
        <f t="shared" si="97"/>
        <v>0</v>
      </c>
      <c r="L451" s="133">
        <f t="shared" si="97"/>
        <v>0</v>
      </c>
      <c r="M451" s="133">
        <f t="shared" si="97"/>
        <v>0</v>
      </c>
      <c r="N451" s="30"/>
      <c r="O451" s="76"/>
      <c r="P451" s="42"/>
    </row>
    <row r="452" spans="2:16" s="21" customFormat="1" x14ac:dyDescent="0.25">
      <c r="B452" s="109" t="s">
        <v>740</v>
      </c>
      <c r="C452" s="222" t="s">
        <v>85</v>
      </c>
      <c r="D452" s="72">
        <f t="shared" si="96"/>
        <v>1</v>
      </c>
      <c r="E452" s="133">
        <f t="shared" ref="E452:M452" si="98">E453+E454</f>
        <v>0</v>
      </c>
      <c r="F452" s="133">
        <f t="shared" si="98"/>
        <v>0</v>
      </c>
      <c r="G452" s="133">
        <f t="shared" si="98"/>
        <v>1</v>
      </c>
      <c r="H452" s="133">
        <f t="shared" si="98"/>
        <v>0</v>
      </c>
      <c r="I452" s="133">
        <f t="shared" si="98"/>
        <v>0</v>
      </c>
      <c r="J452" s="133">
        <f>J453+J454</f>
        <v>0</v>
      </c>
      <c r="K452" s="133">
        <f t="shared" si="98"/>
        <v>0</v>
      </c>
      <c r="L452" s="133">
        <f t="shared" si="98"/>
        <v>0</v>
      </c>
      <c r="M452" s="133">
        <f t="shared" si="98"/>
        <v>0</v>
      </c>
      <c r="N452" s="37" t="str">
        <f>IF((D452=D451)*AND(E452=E451)*AND(F452=F451)*AND(G452=G451)*AND(H452=H451)*AND(I452=I451)*AND(K452=K451)*AND(L452=L451)*AND(M452=M451)*AND(J452=J451),"Выполнено","ПРОВЕРИТЬ (в сумме должно получиться общее количество действующих глав)")</f>
        <v>Выполнено</v>
      </c>
      <c r="O452" s="76"/>
      <c r="P452" s="42"/>
    </row>
    <row r="453" spans="2:16" x14ac:dyDescent="0.25">
      <c r="B453" s="109" t="s">
        <v>741</v>
      </c>
      <c r="C453" s="222" t="s">
        <v>86</v>
      </c>
      <c r="D453" s="72">
        <f t="shared" si="96"/>
        <v>0</v>
      </c>
      <c r="E453" s="134"/>
      <c r="F453" s="134"/>
      <c r="G453" s="134"/>
      <c r="H453" s="134"/>
      <c r="I453" s="134"/>
      <c r="J453" s="134"/>
      <c r="K453" s="134"/>
      <c r="L453" s="134"/>
      <c r="M453" s="134"/>
      <c r="N453" s="30"/>
      <c r="O453" s="76"/>
      <c r="P453" s="48"/>
    </row>
    <row r="454" spans="2:16" x14ac:dyDescent="0.25">
      <c r="B454" s="109" t="s">
        <v>742</v>
      </c>
      <c r="C454" s="222" t="s">
        <v>87</v>
      </c>
      <c r="D454" s="72">
        <f t="shared" si="96"/>
        <v>1</v>
      </c>
      <c r="E454" s="134"/>
      <c r="F454" s="134"/>
      <c r="G454" s="134">
        <v>1</v>
      </c>
      <c r="H454" s="134"/>
      <c r="I454" s="134"/>
      <c r="J454" s="134"/>
      <c r="K454" s="134"/>
      <c r="L454" s="134"/>
      <c r="M454" s="134"/>
      <c r="N454" s="30"/>
      <c r="O454" s="76"/>
      <c r="P454" s="48"/>
    </row>
    <row r="455" spans="2:16" x14ac:dyDescent="0.25">
      <c r="B455" s="109" t="s">
        <v>743</v>
      </c>
      <c r="C455" s="222" t="s">
        <v>138</v>
      </c>
      <c r="D455" s="72">
        <f t="shared" si="96"/>
        <v>1</v>
      </c>
      <c r="E455" s="133">
        <f t="shared" ref="E455:M455" si="99">SUM(E456:E458)</f>
        <v>0</v>
      </c>
      <c r="F455" s="133">
        <f t="shared" si="99"/>
        <v>0</v>
      </c>
      <c r="G455" s="133">
        <f t="shared" si="99"/>
        <v>1</v>
      </c>
      <c r="H455" s="133">
        <f t="shared" si="99"/>
        <v>0</v>
      </c>
      <c r="I455" s="133">
        <f t="shared" si="99"/>
        <v>0</v>
      </c>
      <c r="J455" s="133">
        <f>SUM(J456:J458)</f>
        <v>0</v>
      </c>
      <c r="K455" s="133">
        <f t="shared" si="99"/>
        <v>0</v>
      </c>
      <c r="L455" s="133">
        <f t="shared" si="99"/>
        <v>0</v>
      </c>
      <c r="M455" s="133">
        <f t="shared" si="99"/>
        <v>0</v>
      </c>
      <c r="N455" s="37" t="str">
        <f>IF((D455=D451)*AND(E455=E451)*AND(F455=F451)*AND(G455=G451)*AND(H455=H451)*AND(I455=I451)*AND(K455=K451)*AND(L455=L451)*AND(M455=M451)*AND(J455=J451),"Выполнено","ПРОВЕРИТЬ (в сумме должно получиться общее количество действующих глав администраций)")</f>
        <v>Выполнено</v>
      </c>
      <c r="O455" s="76"/>
      <c r="P455" s="48"/>
    </row>
    <row r="456" spans="2:16" x14ac:dyDescent="0.25">
      <c r="B456" s="109" t="s">
        <v>744</v>
      </c>
      <c r="C456" s="222" t="s">
        <v>302</v>
      </c>
      <c r="D456" s="72">
        <f t="shared" si="96"/>
        <v>0</v>
      </c>
      <c r="E456" s="134"/>
      <c r="F456" s="134"/>
      <c r="G456" s="134"/>
      <c r="H456" s="134"/>
      <c r="I456" s="134"/>
      <c r="J456" s="134"/>
      <c r="K456" s="134"/>
      <c r="L456" s="134"/>
      <c r="M456" s="134"/>
      <c r="N456" s="30"/>
      <c r="O456" s="76"/>
      <c r="P456" s="48"/>
    </row>
    <row r="457" spans="2:16" x14ac:dyDescent="0.25">
      <c r="B457" s="109" t="s">
        <v>745</v>
      </c>
      <c r="C457" s="222" t="s">
        <v>303</v>
      </c>
      <c r="D457" s="72">
        <f t="shared" si="96"/>
        <v>1</v>
      </c>
      <c r="E457" s="134"/>
      <c r="F457" s="134"/>
      <c r="G457" s="134">
        <v>1</v>
      </c>
      <c r="H457" s="134"/>
      <c r="I457" s="134"/>
      <c r="J457" s="134"/>
      <c r="K457" s="134"/>
      <c r="L457" s="134"/>
      <c r="M457" s="134"/>
      <c r="N457" s="30"/>
      <c r="O457" s="76"/>
      <c r="P457" s="48"/>
    </row>
    <row r="458" spans="2:16" x14ac:dyDescent="0.25">
      <c r="B458" s="109" t="s">
        <v>746</v>
      </c>
      <c r="C458" s="222" t="s">
        <v>88</v>
      </c>
      <c r="D458" s="72">
        <f t="shared" si="96"/>
        <v>0</v>
      </c>
      <c r="E458" s="134"/>
      <c r="F458" s="134"/>
      <c r="G458" s="134"/>
      <c r="H458" s="134"/>
      <c r="I458" s="134"/>
      <c r="J458" s="134"/>
      <c r="K458" s="134"/>
      <c r="L458" s="134"/>
      <c r="M458" s="134"/>
      <c r="N458" s="30"/>
      <c r="O458" s="76"/>
      <c r="P458" s="48"/>
    </row>
    <row r="459" spans="2:16" x14ac:dyDescent="0.25">
      <c r="B459" s="109" t="s">
        <v>747</v>
      </c>
      <c r="C459" s="222" t="s">
        <v>387</v>
      </c>
      <c r="D459" s="72">
        <f t="shared" si="96"/>
        <v>1</v>
      </c>
      <c r="E459" s="134"/>
      <c r="F459" s="134"/>
      <c r="G459" s="134">
        <v>1</v>
      </c>
      <c r="H459" s="134"/>
      <c r="I459" s="134"/>
      <c r="J459" s="134"/>
      <c r="K459" s="134"/>
      <c r="L459" s="134"/>
      <c r="M459" s="134"/>
      <c r="N459" s="37" t="str">
        <f>IF((D459&lt;=D451)*AND(E459&lt;=E451)*AND(F459&lt;=F451)*AND(G459&lt;=G451)*AND(H459&lt;=H451)*AND(I459&lt;=I451)*AND(K459&lt;=K451)*AND(L459&lt;=L451)*AND(M459&lt;=M451)*AND(J459&lt;=J451),"Выполнено","ПРОВЕРИТЬ (их не может быть больше общего числа действующих глав администраций, назначенных по конкурсу)")</f>
        <v>Выполнено</v>
      </c>
      <c r="O459" s="76"/>
      <c r="P459" s="48"/>
    </row>
    <row r="460" spans="2:16" x14ac:dyDescent="0.25">
      <c r="B460" s="109" t="s">
        <v>748</v>
      </c>
      <c r="C460" s="222" t="s">
        <v>139</v>
      </c>
      <c r="D460" s="72">
        <f t="shared" si="96"/>
        <v>0</v>
      </c>
      <c r="E460" s="134"/>
      <c r="F460" s="134"/>
      <c r="G460" s="134"/>
      <c r="H460" s="134"/>
      <c r="I460" s="134"/>
      <c r="J460" s="134"/>
      <c r="K460" s="134"/>
      <c r="L460" s="134"/>
      <c r="M460" s="134"/>
      <c r="N460" s="37" t="str">
        <f>IF((D460&lt;=D451)*AND(E460&lt;=E451)*AND(F460&lt;=F451)*AND(G460&lt;=G451)*AND(H460&lt;=H451)*AND(I460&lt;=I451)*AND(K460&lt;=K451)*AND(L460&lt;=L451)*AND(M460&lt;=M451)*AND(J460&lt;=J451),"Выполнено","ПРОВЕРИТЬ (их не может быть больше общего числа действующих глав, избранных населением)")</f>
        <v>Выполнено</v>
      </c>
      <c r="O460" s="76"/>
      <c r="P460" s="48"/>
    </row>
    <row r="461" spans="2:16" s="73" customFormat="1" x14ac:dyDescent="0.25">
      <c r="B461" s="109" t="s">
        <v>479</v>
      </c>
      <c r="C461" s="222" t="s">
        <v>141</v>
      </c>
      <c r="D461" s="72">
        <f t="shared" ref="D461:D470" si="100">SUM(E461:I461)+SUM(K461:M461)</f>
        <v>2</v>
      </c>
      <c r="E461" s="133">
        <f t="shared" ref="E461:M461" si="101">E392</f>
        <v>0</v>
      </c>
      <c r="F461" s="133">
        <f t="shared" si="101"/>
        <v>0</v>
      </c>
      <c r="G461" s="133">
        <f t="shared" si="101"/>
        <v>2</v>
      </c>
      <c r="H461" s="133">
        <f t="shared" si="101"/>
        <v>0</v>
      </c>
      <c r="I461" s="133">
        <f t="shared" si="101"/>
        <v>0</v>
      </c>
      <c r="J461" s="133">
        <f t="shared" si="101"/>
        <v>0</v>
      </c>
      <c r="K461" s="133">
        <f t="shared" si="101"/>
        <v>0</v>
      </c>
      <c r="L461" s="133">
        <f t="shared" si="101"/>
        <v>0</v>
      </c>
      <c r="M461" s="133">
        <f t="shared" si="101"/>
        <v>0</v>
      </c>
      <c r="N461" s="76"/>
      <c r="O461" s="76"/>
      <c r="P461" s="45"/>
    </row>
    <row r="462" spans="2:16" s="73" customFormat="1" x14ac:dyDescent="0.25">
      <c r="B462" s="109" t="s">
        <v>749</v>
      </c>
      <c r="C462" s="222" t="s">
        <v>85</v>
      </c>
      <c r="D462" s="72">
        <f t="shared" si="100"/>
        <v>2</v>
      </c>
      <c r="E462" s="133">
        <f t="shared" ref="E462:I462" si="102">E463+E464</f>
        <v>0</v>
      </c>
      <c r="F462" s="133">
        <f t="shared" si="102"/>
        <v>0</v>
      </c>
      <c r="G462" s="133">
        <f t="shared" si="102"/>
        <v>2</v>
      </c>
      <c r="H462" s="133">
        <f t="shared" si="102"/>
        <v>0</v>
      </c>
      <c r="I462" s="133">
        <f t="shared" si="102"/>
        <v>0</v>
      </c>
      <c r="J462" s="133">
        <f>J463+J464</f>
        <v>0</v>
      </c>
      <c r="K462" s="133">
        <f t="shared" ref="K462:M462" si="103">K463+K464</f>
        <v>0</v>
      </c>
      <c r="L462" s="133">
        <f t="shared" si="103"/>
        <v>0</v>
      </c>
      <c r="M462" s="133">
        <f t="shared" si="103"/>
        <v>0</v>
      </c>
      <c r="N462" s="37" t="str">
        <f>IF((D462=D461)*AND(E462=E461)*AND(F462=F461)*AND(G462=G461)*AND(H462=H461)*AND(I462=I461)*AND(K462=K461)*AND(L462=L461)*AND(M462=M461)*AND(J462=J461),"Выполнено","ПРОВЕРИТЬ (в сумме должно получиться общее количество служащих)")</f>
        <v>Выполнено</v>
      </c>
      <c r="O462" s="76"/>
      <c r="P462" s="45"/>
    </row>
    <row r="463" spans="2:16" s="73" customFormat="1" x14ac:dyDescent="0.25">
      <c r="B463" s="109" t="s">
        <v>750</v>
      </c>
      <c r="C463" s="222" t="s">
        <v>86</v>
      </c>
      <c r="D463" s="72">
        <f t="shared" si="100"/>
        <v>0</v>
      </c>
      <c r="E463" s="52"/>
      <c r="F463" s="52"/>
      <c r="G463" s="52"/>
      <c r="H463" s="52"/>
      <c r="I463" s="52"/>
      <c r="J463" s="52"/>
      <c r="K463" s="134"/>
      <c r="L463" s="134"/>
      <c r="M463" s="134"/>
      <c r="N463" s="76"/>
      <c r="O463" s="76"/>
      <c r="P463" s="45"/>
    </row>
    <row r="464" spans="2:16" s="73" customFormat="1" x14ac:dyDescent="0.25">
      <c r="B464" s="109" t="s">
        <v>751</v>
      </c>
      <c r="C464" s="222" t="s">
        <v>87</v>
      </c>
      <c r="D464" s="72">
        <f t="shared" si="100"/>
        <v>2</v>
      </c>
      <c r="E464" s="52"/>
      <c r="F464" s="52"/>
      <c r="G464" s="52">
        <v>2</v>
      </c>
      <c r="H464" s="52"/>
      <c r="I464" s="52"/>
      <c r="J464" s="52"/>
      <c r="K464" s="134"/>
      <c r="L464" s="134"/>
      <c r="M464" s="134"/>
      <c r="N464" s="76"/>
      <c r="O464" s="76"/>
      <c r="P464" s="45"/>
    </row>
    <row r="465" spans="2:16" s="73" customFormat="1" x14ac:dyDescent="0.25">
      <c r="B465" s="109" t="s">
        <v>752</v>
      </c>
      <c r="C465" s="222" t="s">
        <v>138</v>
      </c>
      <c r="D465" s="72">
        <f t="shared" si="100"/>
        <v>2</v>
      </c>
      <c r="E465" s="133">
        <f t="shared" ref="E465:I465" si="104">SUM(E466:E468)</f>
        <v>0</v>
      </c>
      <c r="F465" s="133">
        <f t="shared" si="104"/>
        <v>0</v>
      </c>
      <c r="G465" s="133">
        <f t="shared" si="104"/>
        <v>2</v>
      </c>
      <c r="H465" s="133">
        <f t="shared" si="104"/>
        <v>0</v>
      </c>
      <c r="I465" s="133">
        <f t="shared" si="104"/>
        <v>0</v>
      </c>
      <c r="J465" s="133">
        <f>SUM(J466:J468)</f>
        <v>0</v>
      </c>
      <c r="K465" s="133">
        <f t="shared" ref="K465:M465" si="105">SUM(K466:K468)</f>
        <v>0</v>
      </c>
      <c r="L465" s="133">
        <f t="shared" si="105"/>
        <v>0</v>
      </c>
      <c r="M465" s="133">
        <f t="shared" si="105"/>
        <v>0</v>
      </c>
      <c r="N465" s="37" t="str">
        <f>IF((D465=D461)*AND(E465=E461)*AND(F465=F461)*AND(G465=G461)*AND(H465=H461)*AND(I465=I461)*AND(K465=K461)*AND(L465=L461)*AND(M465=M461)*AND(J465=J461),"Выполнено","ПРОВЕРИТЬ (в сумме должно получиться общее количество служащих)")</f>
        <v>Выполнено</v>
      </c>
      <c r="O465" s="76"/>
      <c r="P465" s="45"/>
    </row>
    <row r="466" spans="2:16" s="73" customFormat="1" x14ac:dyDescent="0.25">
      <c r="B466" s="109" t="s">
        <v>753</v>
      </c>
      <c r="C466" s="222" t="s">
        <v>302</v>
      </c>
      <c r="D466" s="72">
        <f t="shared" si="100"/>
        <v>0</v>
      </c>
      <c r="E466" s="52"/>
      <c r="F466" s="52"/>
      <c r="G466" s="52"/>
      <c r="H466" s="52"/>
      <c r="I466" s="52"/>
      <c r="J466" s="52"/>
      <c r="K466" s="134"/>
      <c r="L466" s="134"/>
      <c r="M466" s="134"/>
      <c r="N466" s="76"/>
      <c r="O466" s="76"/>
      <c r="P466" s="45"/>
    </row>
    <row r="467" spans="2:16" s="73" customFormat="1" x14ac:dyDescent="0.25">
      <c r="B467" s="109" t="s">
        <v>754</v>
      </c>
      <c r="C467" s="222" t="s">
        <v>303</v>
      </c>
      <c r="D467" s="72">
        <f t="shared" si="100"/>
        <v>2</v>
      </c>
      <c r="E467" s="52"/>
      <c r="F467" s="52"/>
      <c r="G467" s="52">
        <v>2</v>
      </c>
      <c r="H467" s="52"/>
      <c r="I467" s="52"/>
      <c r="J467" s="52"/>
      <c r="K467" s="134"/>
      <c r="L467" s="134"/>
      <c r="M467" s="134"/>
      <c r="N467" s="76"/>
      <c r="O467" s="76"/>
      <c r="P467" s="45"/>
    </row>
    <row r="468" spans="2:16" s="73" customFormat="1" x14ac:dyDescent="0.25">
      <c r="B468" s="109" t="s">
        <v>755</v>
      </c>
      <c r="C468" s="222" t="s">
        <v>88</v>
      </c>
      <c r="D468" s="72">
        <f t="shared" si="100"/>
        <v>0</v>
      </c>
      <c r="E468" s="52"/>
      <c r="F468" s="52"/>
      <c r="G468" s="52"/>
      <c r="H468" s="52"/>
      <c r="I468" s="52"/>
      <c r="J468" s="52"/>
      <c r="K468" s="134"/>
      <c r="L468" s="134"/>
      <c r="M468" s="134"/>
      <c r="N468" s="76"/>
      <c r="O468" s="76"/>
      <c r="P468" s="45"/>
    </row>
    <row r="469" spans="2:16" s="73" customFormat="1" x14ac:dyDescent="0.25">
      <c r="B469" s="109" t="s">
        <v>756</v>
      </c>
      <c r="C469" s="222" t="s">
        <v>305</v>
      </c>
      <c r="D469" s="72">
        <f t="shared" si="100"/>
        <v>2</v>
      </c>
      <c r="E469" s="52"/>
      <c r="F469" s="52"/>
      <c r="G469" s="52">
        <v>2</v>
      </c>
      <c r="H469" s="52"/>
      <c r="I469" s="52"/>
      <c r="J469" s="52"/>
      <c r="K469" s="134"/>
      <c r="L469" s="134"/>
      <c r="M469" s="134"/>
      <c r="N469" s="37" t="str">
        <f>IF((D469&lt;=D461)*AND(E469&lt;=E461)*AND(F469&lt;=F461)*AND(G469&lt;=G461)*AND(H469&lt;=H461)*AND(I469&lt;=I461)*AND(K469&lt;=K461)*AND(L469&lt;=L461)*AND(M469&lt;=M461)*AND(J469&lt;=J461),"Выполнено","ПРОВЕРИТЬ (их не может быть больше общего числа служащих)")</f>
        <v>Выполнено</v>
      </c>
      <c r="O469" s="76"/>
      <c r="P469" s="45"/>
    </row>
    <row r="470" spans="2:16" s="73" customFormat="1" x14ac:dyDescent="0.25">
      <c r="B470" s="110" t="s">
        <v>757</v>
      </c>
      <c r="C470" s="224" t="s">
        <v>139</v>
      </c>
      <c r="D470" s="72">
        <f t="shared" si="100"/>
        <v>0</v>
      </c>
      <c r="E470" s="52"/>
      <c r="F470" s="52"/>
      <c r="G470" s="52"/>
      <c r="H470" s="52"/>
      <c r="I470" s="52"/>
      <c r="J470" s="52"/>
      <c r="K470" s="134"/>
      <c r="L470" s="134"/>
      <c r="M470" s="134"/>
      <c r="N470" s="37" t="str">
        <f>IF((D470&lt;=D461)*AND(E470&lt;=E461)*AND(F470&lt;=F461)*AND(G470&lt;=G461)*AND(H470&lt;=H461)*AND(I470&lt;=I461)*AND(K470&lt;=K461)*AND(L470&lt;=L461)*AND(M470&lt;=M461)*AND(J470&lt;=J461),"Выполнено","ПРОВЕРИТЬ (их не может быть больше общего числа служащих)")</f>
        <v>Выполнено</v>
      </c>
      <c r="O470" s="76"/>
      <c r="P470" s="45"/>
    </row>
    <row r="471" spans="2:16" ht="45" x14ac:dyDescent="0.25">
      <c r="B471" s="106" t="s">
        <v>758</v>
      </c>
      <c r="C471" s="215" t="s">
        <v>134</v>
      </c>
      <c r="D471" s="55"/>
      <c r="E471" s="56"/>
      <c r="F471" s="56"/>
      <c r="G471" s="56"/>
      <c r="H471" s="56"/>
      <c r="I471" s="56"/>
      <c r="J471" s="56"/>
      <c r="K471" s="56"/>
      <c r="L471" s="56"/>
      <c r="M471" s="56"/>
      <c r="N471" s="33"/>
      <c r="O471" s="74"/>
      <c r="P471" s="45"/>
    </row>
    <row r="472" spans="2:16" ht="45" x14ac:dyDescent="0.25">
      <c r="B472" s="107" t="s">
        <v>759</v>
      </c>
      <c r="C472" s="216" t="s">
        <v>1068</v>
      </c>
      <c r="D472" s="72">
        <f t="shared" si="96"/>
        <v>0</v>
      </c>
      <c r="E472" s="133">
        <f t="shared" ref="E472:M472" si="106">SUM(E473:E478)</f>
        <v>0</v>
      </c>
      <c r="F472" s="133">
        <f t="shared" si="106"/>
        <v>0</v>
      </c>
      <c r="G472" s="133">
        <f t="shared" si="106"/>
        <v>0</v>
      </c>
      <c r="H472" s="133">
        <f t="shared" si="106"/>
        <v>0</v>
      </c>
      <c r="I472" s="133">
        <f t="shared" si="106"/>
        <v>0</v>
      </c>
      <c r="J472" s="133">
        <f>SUM(J473:J478)</f>
        <v>0</v>
      </c>
      <c r="K472" s="133">
        <f t="shared" si="106"/>
        <v>0</v>
      </c>
      <c r="L472" s="133">
        <f t="shared" si="106"/>
        <v>0</v>
      </c>
      <c r="M472" s="133">
        <f t="shared" si="106"/>
        <v>0</v>
      </c>
      <c r="N472" s="30"/>
      <c r="O472" s="76"/>
      <c r="P472" s="46"/>
    </row>
    <row r="473" spans="2:16" x14ac:dyDescent="0.25">
      <c r="B473" s="108" t="s">
        <v>760</v>
      </c>
      <c r="C473" s="217" t="s">
        <v>146</v>
      </c>
      <c r="D473" s="72">
        <f t="shared" si="96"/>
        <v>0</v>
      </c>
      <c r="E473" s="135"/>
      <c r="F473" s="135"/>
      <c r="G473" s="135"/>
      <c r="H473" s="135"/>
      <c r="I473" s="135"/>
      <c r="J473" s="135"/>
      <c r="K473" s="135"/>
      <c r="L473" s="135"/>
      <c r="M473" s="135"/>
      <c r="N473" s="30"/>
      <c r="O473" s="79" t="str">
        <f t="shared" ref="O473:O478" si="107">IF(((D473=0)),"   ","Нужно заполнить пункт 52 текстовой части - о случаях досрочного прекращения полномочий представительных органов муниципальных образований")</f>
        <v xml:space="preserve">   </v>
      </c>
      <c r="P473" s="48"/>
    </row>
    <row r="474" spans="2:16" ht="30" x14ac:dyDescent="0.25">
      <c r="B474" s="108" t="s">
        <v>761</v>
      </c>
      <c r="C474" s="217" t="s">
        <v>147</v>
      </c>
      <c r="D474" s="72">
        <f t="shared" si="96"/>
        <v>0</v>
      </c>
      <c r="E474" s="135"/>
      <c r="F474" s="135"/>
      <c r="G474" s="135"/>
      <c r="H474" s="135"/>
      <c r="I474" s="135"/>
      <c r="J474" s="135"/>
      <c r="K474" s="135"/>
      <c r="L474" s="135"/>
      <c r="M474" s="135"/>
      <c r="N474" s="30"/>
      <c r="O474" s="79" t="str">
        <f t="shared" si="107"/>
        <v xml:space="preserve">   </v>
      </c>
      <c r="P474" s="42"/>
    </row>
    <row r="475" spans="2:16" ht="30" x14ac:dyDescent="0.25">
      <c r="B475" s="108" t="s">
        <v>762</v>
      </c>
      <c r="C475" s="217" t="s">
        <v>148</v>
      </c>
      <c r="D475" s="72">
        <f t="shared" si="96"/>
        <v>0</v>
      </c>
      <c r="E475" s="135"/>
      <c r="F475" s="135"/>
      <c r="G475" s="135"/>
      <c r="H475" s="135"/>
      <c r="I475" s="135"/>
      <c r="J475" s="135"/>
      <c r="K475" s="135"/>
      <c r="L475" s="135"/>
      <c r="M475" s="135"/>
      <c r="N475" s="30"/>
      <c r="O475" s="79" t="str">
        <f t="shared" si="107"/>
        <v xml:space="preserve">   </v>
      </c>
      <c r="P475" s="45"/>
    </row>
    <row r="476" spans="2:16" ht="30" x14ac:dyDescent="0.25">
      <c r="B476" s="108" t="s">
        <v>763</v>
      </c>
      <c r="C476" s="217" t="s">
        <v>149</v>
      </c>
      <c r="D476" s="72">
        <f t="shared" si="96"/>
        <v>0</v>
      </c>
      <c r="E476" s="135"/>
      <c r="F476" s="135"/>
      <c r="G476" s="135"/>
      <c r="H476" s="135"/>
      <c r="I476" s="135"/>
      <c r="J476" s="135"/>
      <c r="K476" s="135"/>
      <c r="L476" s="135"/>
      <c r="M476" s="135"/>
      <c r="N476" s="30"/>
      <c r="O476" s="79" t="str">
        <f t="shared" si="107"/>
        <v xml:space="preserve">   </v>
      </c>
      <c r="P476" s="45"/>
    </row>
    <row r="477" spans="2:16" ht="60" x14ac:dyDescent="0.25">
      <c r="B477" s="108" t="s">
        <v>764</v>
      </c>
      <c r="C477" s="217" t="s">
        <v>567</v>
      </c>
      <c r="D477" s="72">
        <f t="shared" si="96"/>
        <v>0</v>
      </c>
      <c r="E477" s="135"/>
      <c r="F477" s="135"/>
      <c r="G477" s="135"/>
      <c r="H477" s="135"/>
      <c r="I477" s="135"/>
      <c r="J477" s="135"/>
      <c r="K477" s="135"/>
      <c r="L477" s="135"/>
      <c r="M477" s="135"/>
      <c r="N477" s="76"/>
      <c r="O477" s="79" t="str">
        <f t="shared" si="107"/>
        <v xml:space="preserve">   </v>
      </c>
      <c r="P477" s="46"/>
    </row>
    <row r="478" spans="2:16" x14ac:dyDescent="0.25">
      <c r="B478" s="108" t="s">
        <v>765</v>
      </c>
      <c r="C478" s="217" t="s">
        <v>150</v>
      </c>
      <c r="D478" s="72">
        <f t="shared" si="96"/>
        <v>0</v>
      </c>
      <c r="E478" s="135"/>
      <c r="F478" s="135"/>
      <c r="G478" s="135"/>
      <c r="H478" s="135"/>
      <c r="I478" s="135"/>
      <c r="J478" s="135"/>
      <c r="K478" s="135"/>
      <c r="L478" s="135"/>
      <c r="M478" s="135"/>
      <c r="N478" s="30"/>
      <c r="O478" s="79" t="str">
        <f t="shared" si="107"/>
        <v xml:space="preserve">   </v>
      </c>
      <c r="P478" s="48"/>
    </row>
    <row r="479" spans="2:16" ht="30" x14ac:dyDescent="0.25">
      <c r="B479" s="107" t="s">
        <v>766</v>
      </c>
      <c r="C479" s="216" t="s">
        <v>1069</v>
      </c>
      <c r="D479" s="72">
        <f t="shared" si="96"/>
        <v>0</v>
      </c>
      <c r="E479" s="133">
        <f t="shared" ref="E479:M479" si="108">SUM(E480:E489)</f>
        <v>0</v>
      </c>
      <c r="F479" s="133">
        <f t="shared" si="108"/>
        <v>0</v>
      </c>
      <c r="G479" s="133">
        <f t="shared" si="108"/>
        <v>0</v>
      </c>
      <c r="H479" s="133">
        <f t="shared" si="108"/>
        <v>0</v>
      </c>
      <c r="I479" s="133">
        <f t="shared" si="108"/>
        <v>0</v>
      </c>
      <c r="J479" s="133">
        <f>SUM(J480:J489)</f>
        <v>0</v>
      </c>
      <c r="K479" s="133">
        <f t="shared" si="108"/>
        <v>0</v>
      </c>
      <c r="L479" s="133">
        <f t="shared" si="108"/>
        <v>0</v>
      </c>
      <c r="M479" s="133">
        <f t="shared" si="108"/>
        <v>0</v>
      </c>
      <c r="N479" s="30"/>
      <c r="O479" s="76"/>
      <c r="P479" s="42"/>
    </row>
    <row r="480" spans="2:16" x14ac:dyDescent="0.25">
      <c r="B480" s="109" t="s">
        <v>767</v>
      </c>
      <c r="C480" s="216" t="s">
        <v>151</v>
      </c>
      <c r="D480" s="72">
        <f t="shared" si="96"/>
        <v>0</v>
      </c>
      <c r="E480" s="52"/>
      <c r="F480" s="52"/>
      <c r="G480" s="52"/>
      <c r="H480" s="136"/>
      <c r="I480" s="136"/>
      <c r="J480" s="136"/>
      <c r="K480" s="136"/>
      <c r="L480" s="136"/>
      <c r="M480" s="136"/>
      <c r="N480" s="30"/>
      <c r="O480" s="76"/>
      <c r="P480" s="48"/>
    </row>
    <row r="481" spans="2:16" x14ac:dyDescent="0.25">
      <c r="B481" s="109" t="s">
        <v>768</v>
      </c>
      <c r="C481" s="216" t="s">
        <v>152</v>
      </c>
      <c r="D481" s="72">
        <f t="shared" si="96"/>
        <v>0</v>
      </c>
      <c r="E481" s="52"/>
      <c r="F481" s="52"/>
      <c r="G481" s="52"/>
      <c r="H481" s="136"/>
      <c r="I481" s="136"/>
      <c r="J481" s="136"/>
      <c r="K481" s="136"/>
      <c r="L481" s="136"/>
      <c r="M481" s="136"/>
      <c r="N481" s="30"/>
      <c r="O481" s="76"/>
      <c r="P481" s="48"/>
    </row>
    <row r="482" spans="2:16" x14ac:dyDescent="0.25">
      <c r="B482" s="108" t="s">
        <v>769</v>
      </c>
      <c r="C482" s="217" t="s">
        <v>153</v>
      </c>
      <c r="D482" s="72">
        <f t="shared" si="96"/>
        <v>0</v>
      </c>
      <c r="E482" s="135"/>
      <c r="F482" s="135"/>
      <c r="G482" s="135"/>
      <c r="H482" s="135"/>
      <c r="I482" s="135"/>
      <c r="J482" s="135"/>
      <c r="K482" s="135"/>
      <c r="L482" s="135"/>
      <c r="M482" s="135"/>
      <c r="N482" s="30"/>
      <c r="O482" s="79" t="str">
        <f>IF(((D482=0)),"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82" s="42"/>
    </row>
    <row r="483" spans="2:16" ht="30" x14ac:dyDescent="0.25">
      <c r="B483" s="108" t="s">
        <v>770</v>
      </c>
      <c r="C483" s="217" t="s">
        <v>154</v>
      </c>
      <c r="D483" s="72">
        <f t="shared" si="96"/>
        <v>0</v>
      </c>
      <c r="E483" s="135"/>
      <c r="F483" s="135"/>
      <c r="G483" s="135"/>
      <c r="H483" s="135"/>
      <c r="I483" s="135"/>
      <c r="J483" s="135"/>
      <c r="K483" s="135"/>
      <c r="L483" s="135"/>
      <c r="M483" s="135"/>
      <c r="N483" s="30"/>
      <c r="O483" s="79" t="str">
        <f t="shared" ref="O483:O489" si="109">IF(((D483=0)),"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83" s="48"/>
    </row>
    <row r="484" spans="2:16" s="21" customFormat="1" ht="30" x14ac:dyDescent="0.25">
      <c r="B484" s="108" t="s">
        <v>771</v>
      </c>
      <c r="C484" s="217" t="s">
        <v>155</v>
      </c>
      <c r="D484" s="72">
        <f t="shared" si="96"/>
        <v>0</v>
      </c>
      <c r="E484" s="135"/>
      <c r="F484" s="135"/>
      <c r="G484" s="135"/>
      <c r="H484" s="135"/>
      <c r="I484" s="135"/>
      <c r="J484" s="135"/>
      <c r="K484" s="135"/>
      <c r="L484" s="135"/>
      <c r="M484" s="135"/>
      <c r="N484" s="30"/>
      <c r="O484" s="79" t="str">
        <f t="shared" si="109"/>
        <v xml:space="preserve">   </v>
      </c>
      <c r="P484" s="48"/>
    </row>
    <row r="485" spans="2:16" ht="30" x14ac:dyDescent="0.25">
      <c r="B485" s="108" t="s">
        <v>772</v>
      </c>
      <c r="C485" s="217" t="s">
        <v>156</v>
      </c>
      <c r="D485" s="72">
        <f t="shared" si="96"/>
        <v>0</v>
      </c>
      <c r="E485" s="135"/>
      <c r="F485" s="135"/>
      <c r="G485" s="135"/>
      <c r="H485" s="135"/>
      <c r="I485" s="135"/>
      <c r="J485" s="135"/>
      <c r="K485" s="135"/>
      <c r="L485" s="135"/>
      <c r="M485" s="135"/>
      <c r="N485" s="30"/>
      <c r="O485" s="79" t="str">
        <f t="shared" si="109"/>
        <v xml:space="preserve">   </v>
      </c>
      <c r="P485" s="48"/>
    </row>
    <row r="486" spans="2:16" ht="45" x14ac:dyDescent="0.25">
      <c r="B486" s="108" t="s">
        <v>773</v>
      </c>
      <c r="C486" s="217" t="s">
        <v>229</v>
      </c>
      <c r="D486" s="72">
        <f t="shared" si="96"/>
        <v>0</v>
      </c>
      <c r="E486" s="135"/>
      <c r="F486" s="135"/>
      <c r="G486" s="135"/>
      <c r="H486" s="135"/>
      <c r="I486" s="135"/>
      <c r="J486" s="135"/>
      <c r="K486" s="135"/>
      <c r="L486" s="135"/>
      <c r="M486" s="135"/>
      <c r="N486" s="30"/>
      <c r="O486" s="79" t="str">
        <f t="shared" si="109"/>
        <v xml:space="preserve">   </v>
      </c>
      <c r="P486" s="42"/>
    </row>
    <row r="487" spans="2:16" ht="30" x14ac:dyDescent="0.25">
      <c r="B487" s="108" t="s">
        <v>774</v>
      </c>
      <c r="C487" s="217" t="s">
        <v>149</v>
      </c>
      <c r="D487" s="72">
        <f t="shared" si="96"/>
        <v>0</v>
      </c>
      <c r="E487" s="135"/>
      <c r="F487" s="135"/>
      <c r="G487" s="135"/>
      <c r="H487" s="135"/>
      <c r="I487" s="135"/>
      <c r="J487" s="135"/>
      <c r="K487" s="135"/>
      <c r="L487" s="135"/>
      <c r="M487" s="135"/>
      <c r="N487" s="30"/>
      <c r="O487" s="79" t="str">
        <f t="shared" si="109"/>
        <v xml:space="preserve">   </v>
      </c>
      <c r="P487" s="42"/>
    </row>
    <row r="488" spans="2:16" s="21" customFormat="1" ht="60" x14ac:dyDescent="0.25">
      <c r="B488" s="108" t="s">
        <v>775</v>
      </c>
      <c r="C488" s="217" t="s">
        <v>567</v>
      </c>
      <c r="D488" s="72">
        <f t="shared" si="96"/>
        <v>0</v>
      </c>
      <c r="E488" s="135"/>
      <c r="F488" s="135"/>
      <c r="G488" s="135"/>
      <c r="H488" s="135"/>
      <c r="I488" s="135"/>
      <c r="J488" s="135"/>
      <c r="K488" s="135"/>
      <c r="L488" s="135"/>
      <c r="M488" s="135"/>
      <c r="N488" s="76"/>
      <c r="O488" s="79" t="str">
        <f t="shared" si="109"/>
        <v xml:space="preserve">   </v>
      </c>
      <c r="P488" s="42"/>
    </row>
    <row r="489" spans="2:16" s="21" customFormat="1" x14ac:dyDescent="0.25">
      <c r="B489" s="108" t="s">
        <v>776</v>
      </c>
      <c r="C489" s="217" t="s">
        <v>28</v>
      </c>
      <c r="D489" s="72">
        <f t="shared" si="96"/>
        <v>0</v>
      </c>
      <c r="E489" s="135"/>
      <c r="F489" s="135"/>
      <c r="G489" s="135"/>
      <c r="H489" s="135"/>
      <c r="I489" s="135"/>
      <c r="J489" s="135"/>
      <c r="K489" s="135"/>
      <c r="L489" s="135"/>
      <c r="M489" s="135"/>
      <c r="N489" s="30"/>
      <c r="O489" s="79" t="str">
        <f t="shared" si="109"/>
        <v xml:space="preserve">   </v>
      </c>
      <c r="P489" s="42"/>
    </row>
    <row r="490" spans="2:16" s="21" customFormat="1" ht="60" x14ac:dyDescent="0.25">
      <c r="B490" s="107" t="s">
        <v>777</v>
      </c>
      <c r="C490" s="216" t="s">
        <v>1070</v>
      </c>
      <c r="D490" s="72">
        <f t="shared" si="96"/>
        <v>0</v>
      </c>
      <c r="E490" s="133">
        <f t="shared" ref="E490:L490" si="110">SUM(E491:E497)</f>
        <v>0</v>
      </c>
      <c r="F490" s="133">
        <f t="shared" si="110"/>
        <v>0</v>
      </c>
      <c r="G490" s="133">
        <f t="shared" si="110"/>
        <v>0</v>
      </c>
      <c r="H490" s="133">
        <f t="shared" si="110"/>
        <v>0</v>
      </c>
      <c r="I490" s="133">
        <f t="shared" si="110"/>
        <v>0</v>
      </c>
      <c r="J490" s="133">
        <f>SUM(J491:J497)</f>
        <v>0</v>
      </c>
      <c r="K490" s="133">
        <f t="shared" si="110"/>
        <v>0</v>
      </c>
      <c r="L490" s="133">
        <f t="shared" si="110"/>
        <v>0</v>
      </c>
      <c r="M490" s="133">
        <f>SUM(M491:M497)</f>
        <v>0</v>
      </c>
      <c r="N490" s="30"/>
      <c r="O490" s="76"/>
      <c r="P490" s="42"/>
    </row>
    <row r="491" spans="2:16" s="21" customFormat="1" ht="45" x14ac:dyDescent="0.25">
      <c r="B491" s="111" t="s">
        <v>778</v>
      </c>
      <c r="C491" s="216" t="s">
        <v>157</v>
      </c>
      <c r="D491" s="72">
        <f t="shared" si="96"/>
        <v>0</v>
      </c>
      <c r="E491" s="136"/>
      <c r="F491" s="136"/>
      <c r="G491" s="136"/>
      <c r="H491" s="136"/>
      <c r="I491" s="136"/>
      <c r="J491" s="136"/>
      <c r="K491" s="136"/>
      <c r="L491" s="136"/>
      <c r="M491" s="136"/>
      <c r="N491" s="30"/>
      <c r="O491" s="76"/>
      <c r="P491" s="42"/>
    </row>
    <row r="492" spans="2:16" s="21" customFormat="1" x14ac:dyDescent="0.25">
      <c r="B492" s="111" t="s">
        <v>779</v>
      </c>
      <c r="C492" s="216" t="s">
        <v>158</v>
      </c>
      <c r="D492" s="72">
        <f t="shared" si="96"/>
        <v>0</v>
      </c>
      <c r="E492" s="136"/>
      <c r="F492" s="136"/>
      <c r="G492" s="136"/>
      <c r="H492" s="136"/>
      <c r="I492" s="136"/>
      <c r="J492" s="136"/>
      <c r="K492" s="136"/>
      <c r="L492" s="136"/>
      <c r="M492" s="136"/>
      <c r="N492" s="30"/>
      <c r="O492" s="76"/>
      <c r="P492" s="42"/>
    </row>
    <row r="493" spans="2:16" s="21" customFormat="1" ht="30" x14ac:dyDescent="0.25">
      <c r="B493" s="108" t="s">
        <v>786</v>
      </c>
      <c r="C493" s="217" t="s">
        <v>159</v>
      </c>
      <c r="D493" s="72">
        <f t="shared" si="96"/>
        <v>0</v>
      </c>
      <c r="E493" s="135"/>
      <c r="F493" s="135"/>
      <c r="G493" s="135"/>
      <c r="H493" s="135"/>
      <c r="I493" s="135"/>
      <c r="J493" s="135"/>
      <c r="K493" s="135"/>
      <c r="L493" s="135"/>
      <c r="M493" s="135"/>
      <c r="N493" s="30"/>
      <c r="O493" s="79" t="str">
        <f>IF(((D493=0)),"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3" s="42"/>
    </row>
    <row r="494" spans="2:16" s="21" customFormat="1" x14ac:dyDescent="0.25">
      <c r="B494" s="108" t="s">
        <v>780</v>
      </c>
      <c r="C494" s="217" t="s">
        <v>160</v>
      </c>
      <c r="D494" s="72">
        <f t="shared" si="96"/>
        <v>0</v>
      </c>
      <c r="E494" s="135"/>
      <c r="F494" s="135"/>
      <c r="G494" s="135"/>
      <c r="H494" s="135"/>
      <c r="I494" s="135"/>
      <c r="J494" s="135"/>
      <c r="K494" s="135"/>
      <c r="L494" s="135"/>
      <c r="M494" s="135"/>
      <c r="N494" s="30"/>
      <c r="O494" s="79" t="str">
        <f>IF(((D494=0)),"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4" s="42"/>
    </row>
    <row r="495" spans="2:16" ht="30" x14ac:dyDescent="0.25">
      <c r="B495" s="108" t="s">
        <v>781</v>
      </c>
      <c r="C495" s="217" t="s">
        <v>149</v>
      </c>
      <c r="D495" s="72">
        <f t="shared" si="96"/>
        <v>0</v>
      </c>
      <c r="E495" s="135"/>
      <c r="F495" s="135"/>
      <c r="G495" s="135"/>
      <c r="H495" s="135"/>
      <c r="I495" s="135"/>
      <c r="J495" s="135"/>
      <c r="K495" s="135"/>
      <c r="L495" s="135"/>
      <c r="M495" s="135"/>
      <c r="N495" s="30"/>
      <c r="O495" s="79" t="str">
        <f>IF(((D495=0)),"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5" s="48"/>
    </row>
    <row r="496" spans="2:16" ht="60" x14ac:dyDescent="0.25">
      <c r="B496" s="108" t="s">
        <v>782</v>
      </c>
      <c r="C496" s="217" t="s">
        <v>567</v>
      </c>
      <c r="D496" s="72">
        <f t="shared" si="96"/>
        <v>0</v>
      </c>
      <c r="E496" s="135"/>
      <c r="F496" s="135"/>
      <c r="G496" s="135"/>
      <c r="H496" s="135"/>
      <c r="I496" s="135"/>
      <c r="J496" s="135"/>
      <c r="K496" s="135"/>
      <c r="L496" s="135"/>
      <c r="M496" s="135"/>
      <c r="N496" s="76"/>
      <c r="O496" s="79" t="str">
        <f>IF(((D496=0)),"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6" s="42"/>
    </row>
    <row r="497" spans="2:16" x14ac:dyDescent="0.25">
      <c r="B497" s="108" t="s">
        <v>783</v>
      </c>
      <c r="C497" s="217" t="s">
        <v>150</v>
      </c>
      <c r="D497" s="72">
        <f t="shared" ref="D497:D549" si="111">SUM(E497:I497)+SUM(K497:M497)</f>
        <v>0</v>
      </c>
      <c r="E497" s="135"/>
      <c r="F497" s="135"/>
      <c r="G497" s="135"/>
      <c r="H497" s="135"/>
      <c r="I497" s="135"/>
      <c r="J497" s="135"/>
      <c r="K497" s="135"/>
      <c r="L497" s="135"/>
      <c r="M497" s="135"/>
      <c r="N497" s="30"/>
      <c r="O497" s="79" t="str">
        <f>IF(((D497=0)),"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7" s="48"/>
    </row>
    <row r="498" spans="2:16" ht="60" x14ac:dyDescent="0.25">
      <c r="B498" s="107" t="s">
        <v>784</v>
      </c>
      <c r="C498" s="216" t="s">
        <v>1071</v>
      </c>
      <c r="D498" s="72">
        <f t="shared" si="111"/>
        <v>0</v>
      </c>
      <c r="E498" s="133">
        <f>SUM(E499:E501)</f>
        <v>0</v>
      </c>
      <c r="F498" s="133">
        <f t="shared" ref="F498:M498" si="112">SUM(F499:F501)</f>
        <v>0</v>
      </c>
      <c r="G498" s="133">
        <f t="shared" si="112"/>
        <v>0</v>
      </c>
      <c r="H498" s="133">
        <f t="shared" si="112"/>
        <v>0</v>
      </c>
      <c r="I498" s="133">
        <f t="shared" si="112"/>
        <v>0</v>
      </c>
      <c r="J498" s="133">
        <f>SUM(J499:J501)</f>
        <v>0</v>
      </c>
      <c r="K498" s="133">
        <f t="shared" si="112"/>
        <v>0</v>
      </c>
      <c r="L498" s="133">
        <f t="shared" si="112"/>
        <v>0</v>
      </c>
      <c r="M498" s="133">
        <f t="shared" si="112"/>
        <v>0</v>
      </c>
      <c r="N498" s="30"/>
      <c r="O498" s="76"/>
      <c r="P498" s="48"/>
    </row>
    <row r="499" spans="2:16" ht="30" x14ac:dyDescent="0.25">
      <c r="B499" s="108" t="s">
        <v>787</v>
      </c>
      <c r="C499" s="217" t="s">
        <v>161</v>
      </c>
      <c r="D499" s="72">
        <f t="shared" si="111"/>
        <v>0</v>
      </c>
      <c r="E499" s="135"/>
      <c r="F499" s="135"/>
      <c r="G499" s="135"/>
      <c r="H499" s="135"/>
      <c r="I499" s="135"/>
      <c r="J499" s="135"/>
      <c r="K499" s="135"/>
      <c r="L499" s="135"/>
      <c r="M499" s="135"/>
      <c r="N499" s="30"/>
      <c r="O499" s="79" t="str">
        <f>IF(((D499=0)),"   ","Нужно заполнить пункт 54 текстовой части - о случаях пересмотра соответствующих решений в судебном порядке")</f>
        <v xml:space="preserve">   </v>
      </c>
      <c r="P499" s="42"/>
    </row>
    <row r="500" spans="2:16" ht="45" x14ac:dyDescent="0.25">
      <c r="B500" s="108" t="s">
        <v>788</v>
      </c>
      <c r="C500" s="217" t="s">
        <v>162</v>
      </c>
      <c r="D500" s="72">
        <f t="shared" si="111"/>
        <v>0</v>
      </c>
      <c r="E500" s="135"/>
      <c r="F500" s="135"/>
      <c r="G500" s="135"/>
      <c r="H500" s="135"/>
      <c r="I500" s="135"/>
      <c r="J500" s="135"/>
      <c r="K500" s="135"/>
      <c r="L500" s="135"/>
      <c r="M500" s="135"/>
      <c r="N500" s="30"/>
      <c r="O500" s="79" t="str">
        <f>IF(((D500=0)),"   ","Нужно заполнить пункт 54 текстовой части - о случаях пересмотра соответствующих решений в судебном порядке")</f>
        <v xml:space="preserve">   </v>
      </c>
      <c r="P500" s="48"/>
    </row>
    <row r="501" spans="2:16" ht="45" x14ac:dyDescent="0.25">
      <c r="B501" s="108" t="s">
        <v>785</v>
      </c>
      <c r="C501" s="217" t="s">
        <v>163</v>
      </c>
      <c r="D501" s="72">
        <f t="shared" si="111"/>
        <v>0</v>
      </c>
      <c r="E501" s="135"/>
      <c r="F501" s="135"/>
      <c r="G501" s="135"/>
      <c r="H501" s="135"/>
      <c r="I501" s="135"/>
      <c r="J501" s="135"/>
      <c r="K501" s="135"/>
      <c r="L501" s="135"/>
      <c r="M501" s="135"/>
      <c r="N501" s="30"/>
      <c r="O501" s="79" t="str">
        <f>IF(((D501=0)),"   ","Нужно заполнить пункт 54 текстовой части - о случаях пересмотра соответствующих решений в судебном порядке")</f>
        <v xml:space="preserve">   </v>
      </c>
      <c r="P501" s="48"/>
    </row>
    <row r="502" spans="2:16" ht="45" x14ac:dyDescent="0.25">
      <c r="B502" s="107" t="s">
        <v>789</v>
      </c>
      <c r="C502" s="216" t="s">
        <v>1072</v>
      </c>
      <c r="D502" s="55"/>
      <c r="E502" s="56"/>
      <c r="F502" s="56"/>
      <c r="G502" s="56"/>
      <c r="H502" s="56"/>
      <c r="I502" s="56"/>
      <c r="J502" s="56"/>
      <c r="K502" s="56"/>
      <c r="L502" s="56"/>
      <c r="M502" s="56"/>
      <c r="N502" s="33"/>
      <c r="O502" s="74"/>
      <c r="P502" s="48"/>
    </row>
    <row r="503" spans="2:16" x14ac:dyDescent="0.25">
      <c r="B503" s="108" t="s">
        <v>790</v>
      </c>
      <c r="C503" s="217" t="s">
        <v>164</v>
      </c>
      <c r="D503" s="72">
        <f t="shared" si="111"/>
        <v>0</v>
      </c>
      <c r="E503" s="135"/>
      <c r="F503" s="135"/>
      <c r="G503" s="135"/>
      <c r="H503" s="135"/>
      <c r="I503" s="135"/>
      <c r="J503" s="135"/>
      <c r="K503" s="135"/>
      <c r="L503" s="135"/>
      <c r="M503" s="135"/>
      <c r="N503" s="30"/>
      <c r="O503" s="79" t="str">
        <f>IF(((D503=0)),"   ","Нужно заполнить пункт 55 текстовой части - о случаях временного отстранения должностных лиц в соответствии с УПК")</f>
        <v xml:space="preserve">   </v>
      </c>
      <c r="P503" s="42"/>
    </row>
    <row r="504" spans="2:16" x14ac:dyDescent="0.25">
      <c r="B504" s="108" t="s">
        <v>791</v>
      </c>
      <c r="C504" s="217" t="s">
        <v>165</v>
      </c>
      <c r="D504" s="72">
        <f t="shared" si="111"/>
        <v>0</v>
      </c>
      <c r="E504" s="135"/>
      <c r="F504" s="135"/>
      <c r="G504" s="135"/>
      <c r="H504" s="135"/>
      <c r="I504" s="135"/>
      <c r="J504" s="135"/>
      <c r="K504" s="135"/>
      <c r="L504" s="135"/>
      <c r="M504" s="135"/>
      <c r="N504" s="30"/>
      <c r="O504" s="79" t="str">
        <f>IF(((D504=0)),"   ","Нужно заполнить пункт 55 текстовой части - о случаях временного отстранения должностных лиц в соответствии с УПК")</f>
        <v xml:space="preserve">   </v>
      </c>
      <c r="P504" s="42"/>
    </row>
    <row r="505" spans="2:16" s="21" customFormat="1" x14ac:dyDescent="0.25">
      <c r="B505" s="112" t="s">
        <v>792</v>
      </c>
      <c r="C505" s="215" t="s">
        <v>22</v>
      </c>
      <c r="D505" s="55"/>
      <c r="E505" s="56"/>
      <c r="F505" s="56"/>
      <c r="G505" s="56"/>
      <c r="H505" s="56"/>
      <c r="I505" s="56"/>
      <c r="J505" s="56"/>
      <c r="K505" s="56"/>
      <c r="L505" s="56"/>
      <c r="M505" s="56"/>
      <c r="N505" s="33"/>
      <c r="O505" s="74"/>
      <c r="P505" s="42"/>
    </row>
    <row r="506" spans="2:16" s="73" customFormat="1" ht="60" x14ac:dyDescent="0.25">
      <c r="B506" s="107" t="s">
        <v>793</v>
      </c>
      <c r="C506" s="216" t="s">
        <v>1423</v>
      </c>
      <c r="D506" s="72">
        <f t="shared" ref="D506" si="113">SUM(E506:I506)+SUM(K506:M506)</f>
        <v>0</v>
      </c>
      <c r="E506" s="163"/>
      <c r="F506" s="163"/>
      <c r="G506" s="163"/>
      <c r="H506" s="163"/>
      <c r="I506" s="163"/>
      <c r="J506" s="163"/>
      <c r="K506" s="136"/>
      <c r="L506" s="136"/>
      <c r="M506" s="136"/>
      <c r="N506" s="37" t="str">
        <f>IF((D506&lt;=D$10)*AND(E506&lt;=E$10)*AND(F506&lt;=F$10)*AND(G506&lt;=G$10)*AND(H506&lt;=H$10)*AND(I506&lt;=I$10)*AND(K506&lt;=K$10)*AND(L506&lt;=L$10)*AND(M506&lt;=M$10)*AND(J506&lt;=J$10),"Выполнено","ПРОВЕРИТЬ (таких муниципальных образований не может быть больше их общего числа)")</f>
        <v>Выполнено</v>
      </c>
      <c r="O506" s="76"/>
      <c r="P506" s="42"/>
    </row>
    <row r="507" spans="2:16" s="21" customFormat="1" ht="60" x14ac:dyDescent="0.25">
      <c r="B507" s="107" t="s">
        <v>794</v>
      </c>
      <c r="C507" s="216" t="s">
        <v>1308</v>
      </c>
      <c r="D507" s="72">
        <f t="shared" si="111"/>
        <v>0</v>
      </c>
      <c r="E507" s="207">
        <f t="shared" ref="E507:M507" si="114">E508+E512+E516+E522</f>
        <v>0</v>
      </c>
      <c r="F507" s="207">
        <f t="shared" si="114"/>
        <v>0</v>
      </c>
      <c r="G507" s="207">
        <f t="shared" si="114"/>
        <v>0</v>
      </c>
      <c r="H507" s="207">
        <f t="shared" si="114"/>
        <v>0</v>
      </c>
      <c r="I507" s="207">
        <f t="shared" si="114"/>
        <v>0</v>
      </c>
      <c r="J507" s="207">
        <f t="shared" si="114"/>
        <v>0</v>
      </c>
      <c r="K507" s="207">
        <f t="shared" si="114"/>
        <v>0</v>
      </c>
      <c r="L507" s="207">
        <f t="shared" si="114"/>
        <v>0</v>
      </c>
      <c r="M507" s="207">
        <f t="shared" si="114"/>
        <v>0</v>
      </c>
      <c r="N507" s="37"/>
      <c r="O507" s="76"/>
      <c r="P507" s="42"/>
    </row>
    <row r="508" spans="2:16" s="73" customFormat="1" x14ac:dyDescent="0.25">
      <c r="B508" s="109" t="s">
        <v>795</v>
      </c>
      <c r="C508" s="216" t="s">
        <v>1333</v>
      </c>
      <c r="D508" s="72">
        <f t="shared" ref="D508" si="115">SUM(E508:I508)+SUM(K508:M508)</f>
        <v>0</v>
      </c>
      <c r="E508" s="153">
        <f t="shared" ref="E508" si="116">SUM(E509:E511)</f>
        <v>0</v>
      </c>
      <c r="F508" s="153">
        <f t="shared" ref="F508" si="117">SUM(F509:F511)</f>
        <v>0</v>
      </c>
      <c r="G508" s="153">
        <f t="shared" ref="G508" si="118">SUM(G509:G511)</f>
        <v>0</v>
      </c>
      <c r="H508" s="153">
        <f t="shared" ref="H508" si="119">SUM(H509:H511)</f>
        <v>0</v>
      </c>
      <c r="I508" s="153">
        <f t="shared" ref="I508" si="120">SUM(I509:I511)</f>
        <v>0</v>
      </c>
      <c r="J508" s="153">
        <f t="shared" ref="J508" si="121">SUM(J509:J511)</f>
        <v>0</v>
      </c>
      <c r="K508" s="153">
        <f t="shared" ref="K508" si="122">SUM(K509:K511)</f>
        <v>0</v>
      </c>
      <c r="L508" s="153">
        <f t="shared" ref="L508" si="123">SUM(L509:L511)</f>
        <v>0</v>
      </c>
      <c r="M508" s="153">
        <f t="shared" ref="M508" si="124">SUM(M509:M511)</f>
        <v>0</v>
      </c>
      <c r="N508" s="37" t="str">
        <f>IF((D508&lt;=D507)*AND(E508&lt;=E507)*AND(F508&lt;=F507)*AND(G508&lt;=G507)*AND(H508&lt;=H507)*AND(I508&lt;=I507)*AND(K508&lt;=K507)*AND(L508&lt;=L507)*AND(M508&lt;=M507)*AND(J508&lt;=J507),"Выполнено","ПРОВЕРИТЬ (эта подстрока не может быть больше 22.2)
)")</f>
        <v>Выполнено</v>
      </c>
      <c r="O508" s="76"/>
      <c r="P508" s="78"/>
    </row>
    <row r="509" spans="2:16" s="73" customFormat="1" x14ac:dyDescent="0.25">
      <c r="B509" s="109" t="s">
        <v>1188</v>
      </c>
      <c r="C509" s="216" t="s">
        <v>1185</v>
      </c>
      <c r="D509" s="72">
        <f>SUM(E509:I509)+SUM(K509:M509)</f>
        <v>0</v>
      </c>
      <c r="E509" s="136"/>
      <c r="F509" s="136"/>
      <c r="G509" s="136"/>
      <c r="H509" s="136"/>
      <c r="I509" s="136"/>
      <c r="J509" s="136"/>
      <c r="K509" s="136"/>
      <c r="L509" s="136"/>
      <c r="M509" s="136"/>
      <c r="N509" s="37"/>
      <c r="O509" s="76"/>
      <c r="P509" s="78"/>
    </row>
    <row r="510" spans="2:16" s="73" customFormat="1" x14ac:dyDescent="0.25">
      <c r="B510" s="109" t="s">
        <v>1189</v>
      </c>
      <c r="C510" s="216" t="s">
        <v>1186</v>
      </c>
      <c r="D510" s="72">
        <f>SUM(E510:I510)+SUM(K510:M510)</f>
        <v>0</v>
      </c>
      <c r="E510" s="136"/>
      <c r="F510" s="136"/>
      <c r="G510" s="136"/>
      <c r="H510" s="136"/>
      <c r="I510" s="136"/>
      <c r="J510" s="136"/>
      <c r="K510" s="136"/>
      <c r="L510" s="136"/>
      <c r="M510" s="136"/>
      <c r="N510" s="37"/>
      <c r="O510" s="76"/>
      <c r="P510" s="78"/>
    </row>
    <row r="511" spans="2:16" s="73" customFormat="1" x14ac:dyDescent="0.25">
      <c r="B511" s="109" t="s">
        <v>1190</v>
      </c>
      <c r="C511" s="216" t="s">
        <v>1187</v>
      </c>
      <c r="D511" s="72">
        <f>SUM(E511:I511)+SUM(K511:M511)</f>
        <v>0</v>
      </c>
      <c r="E511" s="136"/>
      <c r="F511" s="136"/>
      <c r="G511" s="136"/>
      <c r="H511" s="136"/>
      <c r="I511" s="136"/>
      <c r="J511" s="136"/>
      <c r="K511" s="136"/>
      <c r="L511" s="136"/>
      <c r="M511" s="136"/>
      <c r="N511" s="37"/>
      <c r="O511" s="76"/>
      <c r="P511" s="78"/>
    </row>
    <row r="512" spans="2:16" s="73" customFormat="1" ht="30" x14ac:dyDescent="0.25">
      <c r="B512" s="109" t="s">
        <v>796</v>
      </c>
      <c r="C512" s="216" t="s">
        <v>1334</v>
      </c>
      <c r="D512" s="72">
        <f t="shared" ref="D512" si="125">SUM(E512:I512)+SUM(K512:M512)</f>
        <v>0</v>
      </c>
      <c r="E512" s="185">
        <f t="shared" ref="E512" si="126">SUM(E513:E515)</f>
        <v>0</v>
      </c>
      <c r="F512" s="185">
        <f t="shared" ref="F512" si="127">SUM(F513:F515)</f>
        <v>0</v>
      </c>
      <c r="G512" s="185">
        <f t="shared" ref="G512" si="128">SUM(G513:G515)</f>
        <v>0</v>
      </c>
      <c r="H512" s="185">
        <f t="shared" ref="H512" si="129">SUM(H513:H515)</f>
        <v>0</v>
      </c>
      <c r="I512" s="185">
        <f t="shared" ref="I512" si="130">SUM(I513:I515)</f>
        <v>0</v>
      </c>
      <c r="J512" s="185">
        <f t="shared" ref="J512" si="131">SUM(J513:J515)</f>
        <v>0</v>
      </c>
      <c r="K512" s="153">
        <f t="shared" ref="K512" si="132">SUM(K513:K515)</f>
        <v>0</v>
      </c>
      <c r="L512" s="153">
        <f t="shared" ref="L512" si="133">SUM(L513:L515)</f>
        <v>0</v>
      </c>
      <c r="M512" s="153">
        <f t="shared" ref="M512" si="134">SUM(M513:M515)</f>
        <v>0</v>
      </c>
      <c r="N512" s="37" t="str">
        <f>IF((D512&lt;=D507)*AND(E512&lt;=E507)*AND(F512&lt;=F507)*AND(G512&lt;=G507)*AND(H512&lt;=H507)*AND(I512&lt;=I507)*AND(K512&lt;=K507)*AND(L512&lt;=L507)*AND(M512&lt;=M507)*AND(J512&lt;=J507),"Выполнено","ПРОВЕРИТЬ (эта подстрока не может быть больше 22.2)
)")</f>
        <v>Выполнено</v>
      </c>
      <c r="O512" s="76"/>
      <c r="P512" s="42"/>
    </row>
    <row r="513" spans="2:16" s="73" customFormat="1" x14ac:dyDescent="0.25">
      <c r="B513" s="109" t="s">
        <v>1191</v>
      </c>
      <c r="C513" s="216" t="s">
        <v>1194</v>
      </c>
      <c r="D513" s="72">
        <f>SUM(E513:I513)+SUM(K513:M513)</f>
        <v>0</v>
      </c>
      <c r="E513" s="136"/>
      <c r="F513" s="136"/>
      <c r="G513" s="136"/>
      <c r="H513" s="136"/>
      <c r="I513" s="136"/>
      <c r="J513" s="136"/>
      <c r="K513" s="136"/>
      <c r="L513" s="136"/>
      <c r="M513" s="136"/>
      <c r="N513" s="37"/>
      <c r="O513" s="76"/>
      <c r="P513" s="78"/>
    </row>
    <row r="514" spans="2:16" s="73" customFormat="1" x14ac:dyDescent="0.25">
      <c r="B514" s="109" t="s">
        <v>1192</v>
      </c>
      <c r="C514" s="216" t="s">
        <v>1195</v>
      </c>
      <c r="D514" s="72">
        <f>SUM(E514:I514)+SUM(K514:M514)</f>
        <v>0</v>
      </c>
      <c r="E514" s="136"/>
      <c r="F514" s="136"/>
      <c r="G514" s="136"/>
      <c r="H514" s="136"/>
      <c r="I514" s="136"/>
      <c r="J514" s="136"/>
      <c r="K514" s="136"/>
      <c r="L514" s="136"/>
      <c r="M514" s="136"/>
      <c r="N514" s="37"/>
      <c r="O514" s="76"/>
      <c r="P514" s="78"/>
    </row>
    <row r="515" spans="2:16" s="73" customFormat="1" x14ac:dyDescent="0.25">
      <c r="B515" s="109" t="s">
        <v>1193</v>
      </c>
      <c r="C515" s="216" t="s">
        <v>1196</v>
      </c>
      <c r="D515" s="72">
        <f>SUM(E515:I515)+SUM(K515:M515)</f>
        <v>0</v>
      </c>
      <c r="E515" s="136"/>
      <c r="F515" s="136"/>
      <c r="G515" s="136"/>
      <c r="H515" s="136"/>
      <c r="I515" s="136"/>
      <c r="J515" s="136"/>
      <c r="K515" s="136"/>
      <c r="L515" s="136"/>
      <c r="M515" s="136"/>
      <c r="N515" s="37"/>
      <c r="O515" s="76"/>
      <c r="P515" s="78"/>
    </row>
    <row r="516" spans="2:16" s="73" customFormat="1" x14ac:dyDescent="0.25">
      <c r="B516" s="109" t="s">
        <v>797</v>
      </c>
      <c r="C516" s="216" t="s">
        <v>1335</v>
      </c>
      <c r="D516" s="72">
        <f t="shared" ref="D516" si="135">SUM(E516:I516)+SUM(K516:M516)</f>
        <v>0</v>
      </c>
      <c r="E516" s="185">
        <f t="shared" ref="E516" si="136">SUM(E517:E521)</f>
        <v>0</v>
      </c>
      <c r="F516" s="185">
        <f t="shared" ref="F516" si="137">SUM(F517:F521)</f>
        <v>0</v>
      </c>
      <c r="G516" s="185">
        <f t="shared" ref="G516" si="138">SUM(G517:G521)</f>
        <v>0</v>
      </c>
      <c r="H516" s="185">
        <f t="shared" ref="H516" si="139">SUM(H517:H521)</f>
        <v>0</v>
      </c>
      <c r="I516" s="185">
        <f t="shared" ref="I516" si="140">SUM(I517:I521)</f>
        <v>0</v>
      </c>
      <c r="J516" s="185">
        <f t="shared" ref="J516" si="141">SUM(J517:J521)</f>
        <v>0</v>
      </c>
      <c r="K516" s="153">
        <f t="shared" ref="K516" si="142">SUM(K517:K521)</f>
        <v>0</v>
      </c>
      <c r="L516" s="153">
        <f t="shared" ref="L516" si="143">SUM(L517:L521)</f>
        <v>0</v>
      </c>
      <c r="M516" s="153">
        <f t="shared" ref="M516" si="144">SUM(M517:M521)</f>
        <v>0</v>
      </c>
      <c r="N516" s="37" t="str">
        <f>IF((D516&lt;=D507)*AND(E516&lt;=E507)*AND(F516&lt;=F507)*AND(G516&lt;=G507)*AND(H516&lt;=H507)*AND(I516&lt;=I507)*AND(K516&lt;=K507)*AND(L516&lt;=L507)*AND(M516&lt;=M507)*AND(J516&lt;=J507),"Выполнено","ПРОВЕРИТЬ (эта подстрока не может быть больше 22.2)
)")</f>
        <v>Выполнено</v>
      </c>
      <c r="O516" s="76"/>
      <c r="P516" s="78"/>
    </row>
    <row r="517" spans="2:16" s="17" customFormat="1" x14ac:dyDescent="0.25">
      <c r="B517" s="109" t="s">
        <v>1175</v>
      </c>
      <c r="C517" s="225" t="s">
        <v>1180</v>
      </c>
      <c r="D517" s="170">
        <f>SUM(E517:I517)+SUM(K517:M517)</f>
        <v>0</v>
      </c>
      <c r="E517" s="148"/>
      <c r="F517" s="148"/>
      <c r="G517" s="148"/>
      <c r="H517" s="148"/>
      <c r="I517" s="148"/>
      <c r="J517" s="148"/>
      <c r="K517" s="148"/>
      <c r="L517" s="148"/>
      <c r="M517" s="148"/>
      <c r="N517" s="202"/>
      <c r="O517" s="203"/>
      <c r="P517" s="78"/>
    </row>
    <row r="518" spans="2:16" s="17" customFormat="1" x14ac:dyDescent="0.25">
      <c r="B518" s="109" t="s">
        <v>1176</v>
      </c>
      <c r="C518" s="225" t="s">
        <v>1181</v>
      </c>
      <c r="D518" s="72">
        <f>SUM(E518:I518)+SUM(K518:M518)</f>
        <v>0</v>
      </c>
      <c r="E518" s="136"/>
      <c r="F518" s="136"/>
      <c r="G518" s="136"/>
      <c r="H518" s="136"/>
      <c r="I518" s="136"/>
      <c r="J518" s="136"/>
      <c r="K518" s="136"/>
      <c r="L518" s="136"/>
      <c r="M518" s="136"/>
      <c r="N518" s="37"/>
      <c r="O518" s="76"/>
      <c r="P518" s="78"/>
    </row>
    <row r="519" spans="2:16" s="17" customFormat="1" x14ac:dyDescent="0.25">
      <c r="B519" s="109" t="s">
        <v>1177</v>
      </c>
      <c r="C519" s="225" t="s">
        <v>1182</v>
      </c>
      <c r="D519" s="72">
        <f>SUM(E519:I519)+SUM(K519:M519)</f>
        <v>0</v>
      </c>
      <c r="E519" s="136"/>
      <c r="F519" s="136"/>
      <c r="G519" s="136"/>
      <c r="H519" s="136"/>
      <c r="I519" s="136"/>
      <c r="J519" s="136"/>
      <c r="K519" s="136"/>
      <c r="L519" s="136"/>
      <c r="M519" s="136"/>
      <c r="N519" s="37"/>
      <c r="O519" s="76"/>
      <c r="P519" s="78"/>
    </row>
    <row r="520" spans="2:16" s="17" customFormat="1" x14ac:dyDescent="0.25">
      <c r="B520" s="109" t="s">
        <v>1178</v>
      </c>
      <c r="C520" s="225" t="s">
        <v>1183</v>
      </c>
      <c r="D520" s="72">
        <f>SUM(E520:I520)+SUM(K520:M520)</f>
        <v>0</v>
      </c>
      <c r="E520" s="136"/>
      <c r="F520" s="136"/>
      <c r="G520" s="136"/>
      <c r="H520" s="136"/>
      <c r="I520" s="136"/>
      <c r="J520" s="136"/>
      <c r="K520" s="136"/>
      <c r="L520" s="136"/>
      <c r="M520" s="136"/>
      <c r="N520" s="37"/>
      <c r="O520" s="76"/>
      <c r="P520" s="78"/>
    </row>
    <row r="521" spans="2:16" s="17" customFormat="1" x14ac:dyDescent="0.25">
      <c r="B521" s="109" t="s">
        <v>1179</v>
      </c>
      <c r="C521" s="225" t="s">
        <v>1184</v>
      </c>
      <c r="D521" s="72">
        <f>SUM(E521:I521)+SUM(K521:M521)</f>
        <v>0</v>
      </c>
      <c r="E521" s="136"/>
      <c r="F521" s="136"/>
      <c r="G521" s="136"/>
      <c r="H521" s="136"/>
      <c r="I521" s="136"/>
      <c r="J521" s="136"/>
      <c r="K521" s="136"/>
      <c r="L521" s="136"/>
      <c r="M521" s="136"/>
      <c r="N521" s="37"/>
      <c r="O521" s="76"/>
      <c r="P521" s="78"/>
    </row>
    <row r="522" spans="2:16" s="21" customFormat="1" x14ac:dyDescent="0.25">
      <c r="B522" s="109" t="s">
        <v>798</v>
      </c>
      <c r="C522" s="216" t="s">
        <v>1337</v>
      </c>
      <c r="D522" s="72">
        <f t="shared" si="111"/>
        <v>0</v>
      </c>
      <c r="E522" s="163"/>
      <c r="F522" s="163"/>
      <c r="G522" s="163"/>
      <c r="H522" s="163"/>
      <c r="I522" s="163"/>
      <c r="J522" s="163"/>
      <c r="K522" s="136"/>
      <c r="L522" s="136"/>
      <c r="M522" s="136"/>
      <c r="N522" s="37" t="str">
        <f>IF((D522&lt;=D507)*AND(E522&lt;=E507)*AND(F522&lt;=F507)*AND(G522&lt;=G507)*AND(H522&lt;=H507)*AND(I522&lt;=I507)*AND(K522&lt;=K507)*AND(L522&lt;=L507)*AND(M522&lt;=M507)*AND(J522&lt;=J507),"Выполнено","ПРОВЕРИТЬ (эта подстрока не может быть больше 22.1)
)")</f>
        <v>Выполнено</v>
      </c>
      <c r="O522" s="76"/>
      <c r="P522" s="42"/>
    </row>
    <row r="523" spans="2:16" s="73" customFormat="1" ht="60" x14ac:dyDescent="0.25">
      <c r="B523" s="109" t="s">
        <v>799</v>
      </c>
      <c r="C523" s="216" t="s">
        <v>1424</v>
      </c>
      <c r="D523" s="72">
        <f t="shared" ref="D523" si="145">SUM(E523:I523)+SUM(K523:M523)</f>
        <v>0</v>
      </c>
      <c r="E523" s="136"/>
      <c r="F523" s="136"/>
      <c r="G523" s="136"/>
      <c r="H523" s="136"/>
      <c r="I523" s="136"/>
      <c r="J523" s="136"/>
      <c r="K523" s="136"/>
      <c r="L523" s="136"/>
      <c r="M523" s="136"/>
      <c r="N523" s="37" t="str">
        <f>IF((D523&lt;=D$10)*AND(E523&lt;=E$10)*AND(F523&lt;=F$10)*AND(G523&lt;=G$10)*AND(H523&lt;=H$10)*AND(I523&lt;=I$10)*AND(K523&lt;=K$10)*AND(L523&lt;=L$10)*AND(M523&lt;=M$10)*AND(J523&lt;=J$10),"Выполнено","ПРОВЕРИТЬ (таких муниципальных образований не может быть больше их общего числа)")</f>
        <v>Выполнено</v>
      </c>
      <c r="O523" s="76"/>
      <c r="P523" s="42"/>
    </row>
    <row r="524" spans="2:16" s="21" customFormat="1" ht="60" x14ac:dyDescent="0.25">
      <c r="B524" s="109" t="s">
        <v>1309</v>
      </c>
      <c r="C524" s="216" t="s">
        <v>1422</v>
      </c>
      <c r="D524" s="72">
        <f t="shared" si="111"/>
        <v>0</v>
      </c>
      <c r="E524" s="207">
        <f t="shared" ref="E524:M524" si="146">E525+E529+E533+E539+E545</f>
        <v>0</v>
      </c>
      <c r="F524" s="207">
        <f t="shared" si="146"/>
        <v>0</v>
      </c>
      <c r="G524" s="207">
        <f t="shared" si="146"/>
        <v>0</v>
      </c>
      <c r="H524" s="207">
        <f t="shared" si="146"/>
        <v>0</v>
      </c>
      <c r="I524" s="207">
        <f t="shared" si="146"/>
        <v>0</v>
      </c>
      <c r="J524" s="207">
        <f t="shared" si="146"/>
        <v>0</v>
      </c>
      <c r="K524" s="207">
        <f t="shared" si="146"/>
        <v>0</v>
      </c>
      <c r="L524" s="207">
        <f t="shared" si="146"/>
        <v>0</v>
      </c>
      <c r="M524" s="207">
        <f t="shared" si="146"/>
        <v>0</v>
      </c>
      <c r="N524" s="37"/>
      <c r="O524" s="76"/>
      <c r="P524" s="42"/>
    </row>
    <row r="525" spans="2:16" x14ac:dyDescent="0.25">
      <c r="B525" s="109" t="s">
        <v>1328</v>
      </c>
      <c r="C525" s="216" t="s">
        <v>1333</v>
      </c>
      <c r="D525" s="72">
        <f t="shared" si="111"/>
        <v>0</v>
      </c>
      <c r="E525" s="153">
        <f t="shared" ref="E525:M525" si="147">SUM(E526:E528)</f>
        <v>0</v>
      </c>
      <c r="F525" s="153">
        <f t="shared" si="147"/>
        <v>0</v>
      </c>
      <c r="G525" s="153">
        <f t="shared" si="147"/>
        <v>0</v>
      </c>
      <c r="H525" s="153">
        <f t="shared" si="147"/>
        <v>0</v>
      </c>
      <c r="I525" s="153">
        <f t="shared" si="147"/>
        <v>0</v>
      </c>
      <c r="J525" s="153">
        <f t="shared" si="147"/>
        <v>0</v>
      </c>
      <c r="K525" s="153">
        <f t="shared" si="147"/>
        <v>0</v>
      </c>
      <c r="L525" s="153">
        <f t="shared" si="147"/>
        <v>0</v>
      </c>
      <c r="M525" s="153">
        <f t="shared" si="147"/>
        <v>0</v>
      </c>
      <c r="N525" s="37" t="str">
        <f>IF((D525&lt;=D524)*AND(E525&lt;=E524)*AND(F525&lt;=F524)*AND(G525&lt;=G524)*AND(H525&lt;=H524)*AND(I525&lt;=I524)*AND(K525&lt;=K524)*AND(L525&lt;=L524)*AND(M525&lt;=M524)*AND(J525&lt;=J524),"Выполнено","ПРОВЕРИТЬ (эта подстрока не может быть больше 22.2)
)")</f>
        <v>Выполнено</v>
      </c>
      <c r="O525" s="76"/>
      <c r="P525" s="48"/>
    </row>
    <row r="526" spans="2:16" s="73" customFormat="1" x14ac:dyDescent="0.25">
      <c r="B526" s="109" t="s">
        <v>1329</v>
      </c>
      <c r="C526" s="216" t="s">
        <v>1185</v>
      </c>
      <c r="D526" s="72">
        <f>SUM(E526:I526)+SUM(K526:M526)</f>
        <v>0</v>
      </c>
      <c r="E526" s="136"/>
      <c r="F526" s="136"/>
      <c r="G526" s="136"/>
      <c r="H526" s="136"/>
      <c r="I526" s="136"/>
      <c r="J526" s="136"/>
      <c r="K526" s="136"/>
      <c r="L526" s="136"/>
      <c r="M526" s="136"/>
      <c r="N526" s="37"/>
      <c r="O526" s="76"/>
      <c r="P526" s="78"/>
    </row>
    <row r="527" spans="2:16" s="73" customFormat="1" x14ac:dyDescent="0.25">
      <c r="B527" s="109" t="s">
        <v>1330</v>
      </c>
      <c r="C527" s="216" t="s">
        <v>1186</v>
      </c>
      <c r="D527" s="72">
        <f>SUM(E527:I527)+SUM(K527:M527)</f>
        <v>0</v>
      </c>
      <c r="E527" s="136"/>
      <c r="F527" s="136"/>
      <c r="G527" s="136"/>
      <c r="H527" s="136"/>
      <c r="I527" s="136"/>
      <c r="J527" s="136"/>
      <c r="K527" s="136"/>
      <c r="L527" s="136"/>
      <c r="M527" s="136"/>
      <c r="N527" s="37"/>
      <c r="O527" s="76"/>
      <c r="P527" s="78"/>
    </row>
    <row r="528" spans="2:16" s="73" customFormat="1" x14ac:dyDescent="0.25">
      <c r="B528" s="109" t="s">
        <v>1331</v>
      </c>
      <c r="C528" s="216" t="s">
        <v>1187</v>
      </c>
      <c r="D528" s="72">
        <f>SUM(E528:I528)+SUM(K528:M528)</f>
        <v>0</v>
      </c>
      <c r="E528" s="136"/>
      <c r="F528" s="136"/>
      <c r="G528" s="136"/>
      <c r="H528" s="136"/>
      <c r="I528" s="136"/>
      <c r="J528" s="136"/>
      <c r="K528" s="136"/>
      <c r="L528" s="136"/>
      <c r="M528" s="136"/>
      <c r="N528" s="37"/>
      <c r="O528" s="76"/>
      <c r="P528" s="78"/>
    </row>
    <row r="529" spans="2:16" ht="30" x14ac:dyDescent="0.25">
      <c r="B529" s="109" t="s">
        <v>1327</v>
      </c>
      <c r="C529" s="216" t="s">
        <v>1334</v>
      </c>
      <c r="D529" s="72">
        <f t="shared" si="111"/>
        <v>0</v>
      </c>
      <c r="E529" s="185">
        <f t="shared" ref="E529:M529" si="148">SUM(E530:E532)</f>
        <v>0</v>
      </c>
      <c r="F529" s="185">
        <f t="shared" si="148"/>
        <v>0</v>
      </c>
      <c r="G529" s="185">
        <f t="shared" si="148"/>
        <v>0</v>
      </c>
      <c r="H529" s="185">
        <f t="shared" si="148"/>
        <v>0</v>
      </c>
      <c r="I529" s="185">
        <f t="shared" si="148"/>
        <v>0</v>
      </c>
      <c r="J529" s="185">
        <f t="shared" si="148"/>
        <v>0</v>
      </c>
      <c r="K529" s="153">
        <f t="shared" si="148"/>
        <v>0</v>
      </c>
      <c r="L529" s="153">
        <f t="shared" si="148"/>
        <v>0</v>
      </c>
      <c r="M529" s="153">
        <f t="shared" si="148"/>
        <v>0</v>
      </c>
      <c r="N529" s="37" t="str">
        <f>IF((D529&lt;=D524)*AND(E529&lt;=E524)*AND(F529&lt;=F524)*AND(G529&lt;=G524)*AND(H529&lt;=H524)*AND(I529&lt;=I524)*AND(K529&lt;=K524)*AND(L529&lt;=L524)*AND(M529&lt;=M524)*AND(J529&lt;=J524),"Выполнено","ПРОВЕРИТЬ (эта подстрока не может быть больше 22.2)
)")</f>
        <v>Выполнено</v>
      </c>
      <c r="O529" s="76"/>
      <c r="P529" s="42"/>
    </row>
    <row r="530" spans="2:16" s="73" customFormat="1" x14ac:dyDescent="0.25">
      <c r="B530" s="109" t="s">
        <v>1326</v>
      </c>
      <c r="C530" s="216" t="s">
        <v>1194</v>
      </c>
      <c r="D530" s="72">
        <f>SUM(E530:I530)+SUM(K530:M530)</f>
        <v>0</v>
      </c>
      <c r="E530" s="136"/>
      <c r="F530" s="136"/>
      <c r="G530" s="136"/>
      <c r="H530" s="136"/>
      <c r="I530" s="136"/>
      <c r="J530" s="136"/>
      <c r="K530" s="136"/>
      <c r="L530" s="136"/>
      <c r="M530" s="136"/>
      <c r="N530" s="37"/>
      <c r="O530" s="76"/>
      <c r="P530" s="78"/>
    </row>
    <row r="531" spans="2:16" s="73" customFormat="1" x14ac:dyDescent="0.25">
      <c r="B531" s="109" t="s">
        <v>1325</v>
      </c>
      <c r="C531" s="216" t="s">
        <v>1195</v>
      </c>
      <c r="D531" s="72">
        <f>SUM(E531:I531)+SUM(K531:M531)</f>
        <v>0</v>
      </c>
      <c r="E531" s="136"/>
      <c r="F531" s="136"/>
      <c r="G531" s="136"/>
      <c r="H531" s="136"/>
      <c r="I531" s="136"/>
      <c r="J531" s="136"/>
      <c r="K531" s="136"/>
      <c r="L531" s="136"/>
      <c r="M531" s="136"/>
      <c r="N531" s="37"/>
      <c r="O531" s="76"/>
      <c r="P531" s="78"/>
    </row>
    <row r="532" spans="2:16" s="73" customFormat="1" x14ac:dyDescent="0.25">
      <c r="B532" s="109" t="s">
        <v>1324</v>
      </c>
      <c r="C532" s="216" t="s">
        <v>1196</v>
      </c>
      <c r="D532" s="72">
        <f>SUM(E532:I532)+SUM(K532:M532)</f>
        <v>0</v>
      </c>
      <c r="E532" s="136"/>
      <c r="F532" s="136"/>
      <c r="G532" s="136"/>
      <c r="H532" s="136"/>
      <c r="I532" s="136"/>
      <c r="J532" s="136"/>
      <c r="K532" s="136"/>
      <c r="L532" s="136"/>
      <c r="M532" s="136"/>
      <c r="N532" s="37"/>
      <c r="O532" s="76"/>
      <c r="P532" s="78"/>
    </row>
    <row r="533" spans="2:16" x14ac:dyDescent="0.25">
      <c r="B533" s="109" t="s">
        <v>1323</v>
      </c>
      <c r="C533" s="216" t="s">
        <v>1335</v>
      </c>
      <c r="D533" s="72">
        <f t="shared" si="111"/>
        <v>0</v>
      </c>
      <c r="E533" s="185">
        <f t="shared" ref="E533:M533" si="149">SUM(E534:E538)</f>
        <v>0</v>
      </c>
      <c r="F533" s="185">
        <f t="shared" si="149"/>
        <v>0</v>
      </c>
      <c r="G533" s="185">
        <f t="shared" si="149"/>
        <v>0</v>
      </c>
      <c r="H533" s="185">
        <f t="shared" si="149"/>
        <v>0</v>
      </c>
      <c r="I533" s="185">
        <f t="shared" si="149"/>
        <v>0</v>
      </c>
      <c r="J533" s="185">
        <f t="shared" si="149"/>
        <v>0</v>
      </c>
      <c r="K533" s="153">
        <f t="shared" si="149"/>
        <v>0</v>
      </c>
      <c r="L533" s="153">
        <f t="shared" si="149"/>
        <v>0</v>
      </c>
      <c r="M533" s="153">
        <f t="shared" si="149"/>
        <v>0</v>
      </c>
      <c r="N533" s="37" t="str">
        <f>IF((D533&lt;=D524)*AND(E533&lt;=E524)*AND(F533&lt;=F524)*AND(G533&lt;=G524)*AND(H533&lt;=H524)*AND(I533&lt;=I524)*AND(K533&lt;=K524)*AND(L533&lt;=L524)*AND(M533&lt;=M524)*AND(J533&lt;=J524),"Выполнено","ПРОВЕРИТЬ (эта подстрока не может быть больше 22.2)
)")</f>
        <v>Выполнено</v>
      </c>
      <c r="O533" s="76"/>
      <c r="P533" s="48"/>
    </row>
    <row r="534" spans="2:16" s="17" customFormat="1" x14ac:dyDescent="0.25">
      <c r="B534" s="109" t="s">
        <v>1322</v>
      </c>
      <c r="C534" s="225" t="s">
        <v>1180</v>
      </c>
      <c r="D534" s="170">
        <f>SUM(E534:I534)+SUM(K534:M534)</f>
        <v>0</v>
      </c>
      <c r="E534" s="148"/>
      <c r="F534" s="148"/>
      <c r="G534" s="148"/>
      <c r="H534" s="148"/>
      <c r="I534" s="148"/>
      <c r="J534" s="148"/>
      <c r="K534" s="148"/>
      <c r="L534" s="148"/>
      <c r="M534" s="148"/>
      <c r="N534" s="202"/>
      <c r="O534" s="203"/>
      <c r="P534" s="78"/>
    </row>
    <row r="535" spans="2:16" s="17" customFormat="1" x14ac:dyDescent="0.25">
      <c r="B535" s="109" t="s">
        <v>1321</v>
      </c>
      <c r="C535" s="225" t="s">
        <v>1181</v>
      </c>
      <c r="D535" s="72">
        <f>SUM(E535:I535)+SUM(K535:M535)</f>
        <v>0</v>
      </c>
      <c r="E535" s="136"/>
      <c r="F535" s="136"/>
      <c r="G535" s="136"/>
      <c r="H535" s="136"/>
      <c r="I535" s="136"/>
      <c r="J535" s="136"/>
      <c r="K535" s="136"/>
      <c r="L535" s="136"/>
      <c r="M535" s="136"/>
      <c r="N535" s="37"/>
      <c r="O535" s="76"/>
      <c r="P535" s="78"/>
    </row>
    <row r="536" spans="2:16" s="17" customFormat="1" x14ac:dyDescent="0.25">
      <c r="B536" s="109" t="s">
        <v>1320</v>
      </c>
      <c r="C536" s="225" t="s">
        <v>1182</v>
      </c>
      <c r="D536" s="72">
        <f>SUM(E536:I536)+SUM(K536:M536)</f>
        <v>0</v>
      </c>
      <c r="E536" s="136"/>
      <c r="F536" s="136"/>
      <c r="G536" s="136"/>
      <c r="H536" s="136"/>
      <c r="I536" s="136"/>
      <c r="J536" s="136"/>
      <c r="K536" s="136"/>
      <c r="L536" s="136"/>
      <c r="M536" s="136"/>
      <c r="N536" s="37"/>
      <c r="O536" s="76"/>
      <c r="P536" s="78"/>
    </row>
    <row r="537" spans="2:16" s="17" customFormat="1" x14ac:dyDescent="0.25">
      <c r="B537" s="109" t="s">
        <v>1319</v>
      </c>
      <c r="C537" s="225" t="s">
        <v>1183</v>
      </c>
      <c r="D537" s="72">
        <f>SUM(E537:I537)+SUM(K537:M537)</f>
        <v>0</v>
      </c>
      <c r="E537" s="136"/>
      <c r="F537" s="136"/>
      <c r="G537" s="136"/>
      <c r="H537" s="136"/>
      <c r="I537" s="136"/>
      <c r="J537" s="136"/>
      <c r="K537" s="136"/>
      <c r="L537" s="136"/>
      <c r="M537" s="136"/>
      <c r="N537" s="37"/>
      <c r="O537" s="76"/>
      <c r="P537" s="78"/>
    </row>
    <row r="538" spans="2:16" s="17" customFormat="1" x14ac:dyDescent="0.25">
      <c r="B538" s="109" t="s">
        <v>1318</v>
      </c>
      <c r="C538" s="225" t="s">
        <v>1184</v>
      </c>
      <c r="D538" s="72">
        <f>SUM(E538:I538)+SUM(K538:M538)</f>
        <v>0</v>
      </c>
      <c r="E538" s="136"/>
      <c r="F538" s="136"/>
      <c r="G538" s="136"/>
      <c r="H538" s="136"/>
      <c r="I538" s="136"/>
      <c r="J538" s="136"/>
      <c r="K538" s="136"/>
      <c r="L538" s="136"/>
      <c r="M538" s="136"/>
      <c r="N538" s="37"/>
      <c r="O538" s="76"/>
      <c r="P538" s="78"/>
    </row>
    <row r="539" spans="2:16" s="73" customFormat="1" x14ac:dyDescent="0.25">
      <c r="B539" s="109" t="s">
        <v>1317</v>
      </c>
      <c r="C539" s="216" t="s">
        <v>1336</v>
      </c>
      <c r="D539" s="72">
        <f t="shared" ref="D539" si="150">SUM(E539:I539)+SUM(K539:M539)</f>
        <v>0</v>
      </c>
      <c r="E539" s="185">
        <f t="shared" ref="E539:M539" si="151">SUM(E540:E544)</f>
        <v>0</v>
      </c>
      <c r="F539" s="185">
        <f t="shared" si="151"/>
        <v>0</v>
      </c>
      <c r="G539" s="185">
        <f t="shared" si="151"/>
        <v>0</v>
      </c>
      <c r="H539" s="185">
        <f t="shared" si="151"/>
        <v>0</v>
      </c>
      <c r="I539" s="185">
        <f t="shared" si="151"/>
        <v>0</v>
      </c>
      <c r="J539" s="185">
        <f t="shared" si="151"/>
        <v>0</v>
      </c>
      <c r="K539" s="153">
        <f t="shared" si="151"/>
        <v>0</v>
      </c>
      <c r="L539" s="153">
        <f t="shared" si="151"/>
        <v>0</v>
      </c>
      <c r="M539" s="153">
        <f t="shared" si="151"/>
        <v>0</v>
      </c>
      <c r="N539" s="37" t="str">
        <f>IF((D539&lt;=D524)*AND(E539&lt;=E524)*AND(F539&lt;=F524)*AND(G539&lt;=G524)*AND(H539&lt;=H524)*AND(I539&lt;=I524)*AND(K539&lt;=K524)*AND(L539&lt;=L524)*AND(M539&lt;=M524)*AND(J539&lt;=J524),"Выполнено","ПРОВЕРИТЬ (эта подстрока не может быть больше 22.2)
)")</f>
        <v>Выполнено</v>
      </c>
      <c r="O539" s="76"/>
      <c r="P539" s="78"/>
    </row>
    <row r="540" spans="2:16" s="17" customFormat="1" x14ac:dyDescent="0.25">
      <c r="B540" s="109" t="s">
        <v>1316</v>
      </c>
      <c r="C540" s="225" t="s">
        <v>1180</v>
      </c>
      <c r="D540" s="170">
        <f>SUM(E540:I540)+SUM(K540:M540)</f>
        <v>0</v>
      </c>
      <c r="E540" s="148"/>
      <c r="F540" s="148"/>
      <c r="G540" s="148"/>
      <c r="H540" s="148"/>
      <c r="I540" s="148"/>
      <c r="J540" s="148"/>
      <c r="K540" s="148"/>
      <c r="L540" s="148"/>
      <c r="M540" s="148"/>
      <c r="N540" s="202"/>
      <c r="O540" s="203"/>
      <c r="P540" s="78"/>
    </row>
    <row r="541" spans="2:16" s="17" customFormat="1" x14ac:dyDescent="0.25">
      <c r="B541" s="109" t="s">
        <v>1315</v>
      </c>
      <c r="C541" s="225" t="s">
        <v>1181</v>
      </c>
      <c r="D541" s="72">
        <f>SUM(E541:I541)+SUM(K541:M541)</f>
        <v>0</v>
      </c>
      <c r="E541" s="136"/>
      <c r="F541" s="136"/>
      <c r="G541" s="136"/>
      <c r="H541" s="136"/>
      <c r="I541" s="136"/>
      <c r="J541" s="136"/>
      <c r="K541" s="136"/>
      <c r="L541" s="136"/>
      <c r="M541" s="136"/>
      <c r="N541" s="37"/>
      <c r="O541" s="76"/>
      <c r="P541" s="78"/>
    </row>
    <row r="542" spans="2:16" s="17" customFormat="1" x14ac:dyDescent="0.25">
      <c r="B542" s="109" t="s">
        <v>1314</v>
      </c>
      <c r="C542" s="225" t="s">
        <v>1182</v>
      </c>
      <c r="D542" s="72">
        <f>SUM(E542:I542)+SUM(K542:M542)</f>
        <v>0</v>
      </c>
      <c r="E542" s="136"/>
      <c r="F542" s="136"/>
      <c r="G542" s="136"/>
      <c r="H542" s="136"/>
      <c r="I542" s="136"/>
      <c r="J542" s="136"/>
      <c r="K542" s="136"/>
      <c r="L542" s="136"/>
      <c r="M542" s="136"/>
      <c r="N542" s="37"/>
      <c r="O542" s="76"/>
      <c r="P542" s="78"/>
    </row>
    <row r="543" spans="2:16" s="17" customFormat="1" x14ac:dyDescent="0.25">
      <c r="B543" s="109" t="s">
        <v>1313</v>
      </c>
      <c r="C543" s="225" t="s">
        <v>1183</v>
      </c>
      <c r="D543" s="72">
        <f>SUM(E543:I543)+SUM(K543:M543)</f>
        <v>0</v>
      </c>
      <c r="E543" s="136"/>
      <c r="F543" s="136"/>
      <c r="G543" s="136"/>
      <c r="H543" s="136"/>
      <c r="I543" s="136"/>
      <c r="J543" s="136"/>
      <c r="K543" s="136"/>
      <c r="L543" s="136"/>
      <c r="M543" s="136"/>
      <c r="N543" s="37"/>
      <c r="O543" s="76"/>
      <c r="P543" s="78"/>
    </row>
    <row r="544" spans="2:16" s="17" customFormat="1" x14ac:dyDescent="0.25">
      <c r="B544" s="109" t="s">
        <v>1312</v>
      </c>
      <c r="C544" s="225" t="s">
        <v>1184</v>
      </c>
      <c r="D544" s="72">
        <f>SUM(E544:I544)+SUM(K544:M544)</f>
        <v>0</v>
      </c>
      <c r="E544" s="136"/>
      <c r="F544" s="136"/>
      <c r="G544" s="136"/>
      <c r="H544" s="136"/>
      <c r="I544" s="136"/>
      <c r="J544" s="136"/>
      <c r="K544" s="136"/>
      <c r="L544" s="136"/>
      <c r="M544" s="136"/>
      <c r="N544" s="37"/>
      <c r="O544" s="76"/>
      <c r="P544" s="78"/>
    </row>
    <row r="545" spans="2:16" x14ac:dyDescent="0.25">
      <c r="B545" s="109" t="s">
        <v>1311</v>
      </c>
      <c r="C545" s="216" t="s">
        <v>1337</v>
      </c>
      <c r="D545" s="72">
        <f t="shared" si="111"/>
        <v>0</v>
      </c>
      <c r="E545" s="52"/>
      <c r="F545" s="52"/>
      <c r="G545" s="52"/>
      <c r="H545" s="52"/>
      <c r="I545" s="52"/>
      <c r="J545" s="52"/>
      <c r="K545" s="136"/>
      <c r="L545" s="136"/>
      <c r="M545" s="136"/>
      <c r="N545" s="37" t="str">
        <f>IF((D545&lt;=D524)*AND(E545&lt;=E524)*AND(F545&lt;=F524)*AND(G545&lt;=G524)*AND(H545&lt;=H524)*AND(I545&lt;=I524)*AND(K545&lt;=K524)*AND(L545&lt;=L524)*AND(M545&lt;=M524)*AND(J545&lt;=J524),"Выполнено","ПРОВЕРИТЬ (эта подстрока не может быть больше 22.2)
)")</f>
        <v>Выполнено</v>
      </c>
      <c r="O545" s="76"/>
      <c r="P545" s="48"/>
    </row>
    <row r="546" spans="2:16" ht="45" x14ac:dyDescent="0.25">
      <c r="B546" s="109" t="s">
        <v>1310</v>
      </c>
      <c r="C546" s="216" t="s">
        <v>397</v>
      </c>
      <c r="D546" s="72">
        <f t="shared" si="111"/>
        <v>0</v>
      </c>
      <c r="E546" s="52"/>
      <c r="F546" s="52"/>
      <c r="G546" s="52"/>
      <c r="H546" s="52"/>
      <c r="I546" s="52"/>
      <c r="J546" s="52"/>
      <c r="K546" s="136"/>
      <c r="L546" s="136"/>
      <c r="M546" s="136"/>
      <c r="N546" s="37" t="str">
        <f>IF((D546&lt;=D$10-D507)*AND(E546&lt;=E$10-E507)*AND(F546&lt;=F$10-F507)*AND(G546&lt;=G$10-G507)*AND(H546&lt;=H$10-H507)*AND(I546&lt;=I$10-I507)*AND(K546&lt;=K$10-K507)*AND(L546&lt;=L$10-L507)*AND(M546&lt;=M$10-M507)*AND(J546&lt;=J$10-J507)*AND(D546&lt;=D$10-D524)*AND(E546&lt;=E$10-E524)*AND(F546&lt;=F$10-F524)*AND(G546&lt;=G$10-G524)*AND(H546&lt;=H$10-H524)*AND(I546&lt;=I$10-I524)*AND(K546&lt;=K$10-K524)*AND(L546&lt;=L$10-L524)*AND(M546&lt;=M$10-M524)*AND(J546&lt;=J$10-J524),"Выполнено","ПРОВЕРИТЬ (таких муниципальных образований не может быть больше разности между общим числом и числом имеющих СМИ муниципалитетов)")</f>
        <v>Выполнено</v>
      </c>
      <c r="O546" s="76"/>
      <c r="P546" s="42"/>
    </row>
    <row r="547" spans="2:16" ht="45" x14ac:dyDescent="0.25">
      <c r="B547" s="112" t="s">
        <v>800</v>
      </c>
      <c r="C547" s="215" t="s">
        <v>1163</v>
      </c>
      <c r="D547" s="55"/>
      <c r="E547" s="56"/>
      <c r="F547" s="56"/>
      <c r="G547" s="56"/>
      <c r="H547" s="56"/>
      <c r="I547" s="56"/>
      <c r="J547" s="56"/>
      <c r="K547" s="56"/>
      <c r="L547" s="56"/>
      <c r="M547" s="56"/>
      <c r="N547" s="33"/>
      <c r="O547" s="74"/>
      <c r="P547" s="48"/>
    </row>
    <row r="548" spans="2:16" ht="60" x14ac:dyDescent="0.25">
      <c r="B548" s="121" t="s">
        <v>23</v>
      </c>
      <c r="C548" s="216" t="s">
        <v>1013</v>
      </c>
      <c r="D548" s="72">
        <f t="shared" si="111"/>
        <v>1</v>
      </c>
      <c r="E548" s="136"/>
      <c r="F548" s="136"/>
      <c r="G548" s="136">
        <v>1</v>
      </c>
      <c r="H548" s="136"/>
      <c r="I548" s="136"/>
      <c r="J548" s="136"/>
      <c r="K548" s="136"/>
      <c r="L548" s="136"/>
      <c r="M548" s="136"/>
      <c r="N548" s="37" t="str">
        <f>IF((D548&lt;=D$10)*AND(E548&lt;=E$10)*AND(F548&lt;=F$10)*AND(G548&lt;=G$10)*AND(H548&lt;=H$10)*AND(I548&lt;=I$10)*AND(K548&lt;=K$10)*AND(L548&lt;=L$10)*AND(M548&lt;=M$10)*AND(J548&lt;=J$10),"Выполнено","ПРОВЕРИТЬ (таких муниципальных образований не может быть больше их общего числа)")</f>
        <v>Выполнено</v>
      </c>
      <c r="O548" s="79" t="str">
        <f>IF(((J548=J10)),"   ","Подсказка - у административных центров субъектов Российской Федерации обычно есть свои сайты")</f>
        <v xml:space="preserve">   </v>
      </c>
      <c r="P548" s="48"/>
    </row>
    <row r="549" spans="2:16" x14ac:dyDescent="0.25">
      <c r="B549" s="196" t="s">
        <v>32</v>
      </c>
      <c r="C549" s="219" t="s">
        <v>569</v>
      </c>
      <c r="D549" s="168">
        <f t="shared" si="111"/>
        <v>1</v>
      </c>
      <c r="E549" s="169"/>
      <c r="F549" s="169"/>
      <c r="G549" s="169">
        <v>1</v>
      </c>
      <c r="H549" s="169"/>
      <c r="I549" s="169"/>
      <c r="J549" s="169"/>
      <c r="K549" s="169"/>
      <c r="L549" s="169"/>
      <c r="M549" s="169"/>
      <c r="N549" s="197" t="str">
        <f>IF((D549&gt;=D548)*AND(E549&gt;=E548)*AND(F549&gt;=F548)*AND(G549&gt;=G548)*AND(H549&gt;=H548)*AND(I549&gt;=I548)*AND(K549&gt;=K548)*AND(L549&gt;=L548)*AND(M549&gt;=M548)*AND(J549&gt;=J548),"Выполнено","ПРОВЕРИТЬ (эта строка не может быть меньше предыдущей)
)")</f>
        <v>Выполнено</v>
      </c>
      <c r="O549" s="198"/>
      <c r="P549" s="48"/>
    </row>
    <row r="550" spans="2:16" s="17" customFormat="1" ht="30" x14ac:dyDescent="0.25">
      <c r="B550" s="109" t="s">
        <v>1160</v>
      </c>
      <c r="C550" s="216" t="s">
        <v>1174</v>
      </c>
      <c r="D550" s="72">
        <f t="shared" ref="D550:D555" si="152">SUM(E550:I550)+SUM(K550:M550)</f>
        <v>0</v>
      </c>
      <c r="E550" s="153">
        <f t="shared" ref="E550:M550" si="153">SUM(E551:E555)</f>
        <v>0</v>
      </c>
      <c r="F550" s="153">
        <f t="shared" si="153"/>
        <v>0</v>
      </c>
      <c r="G550" s="153">
        <f t="shared" si="153"/>
        <v>0</v>
      </c>
      <c r="H550" s="153">
        <f t="shared" si="153"/>
        <v>0</v>
      </c>
      <c r="I550" s="153">
        <f t="shared" si="153"/>
        <v>0</v>
      </c>
      <c r="J550" s="153">
        <f t="shared" si="153"/>
        <v>0</v>
      </c>
      <c r="K550" s="153">
        <f t="shared" si="153"/>
        <v>0</v>
      </c>
      <c r="L550" s="153">
        <f t="shared" si="153"/>
        <v>0</v>
      </c>
      <c r="M550" s="153">
        <f t="shared" si="153"/>
        <v>0</v>
      </c>
      <c r="N550" s="37"/>
      <c r="O550" s="76"/>
      <c r="P550" s="78"/>
    </row>
    <row r="551" spans="2:16" s="17" customFormat="1" x14ac:dyDescent="0.25">
      <c r="B551" s="109" t="s">
        <v>1164</v>
      </c>
      <c r="C551" s="225" t="s">
        <v>1169</v>
      </c>
      <c r="D551" s="170">
        <f t="shared" si="152"/>
        <v>0</v>
      </c>
      <c r="E551" s="148"/>
      <c r="F551" s="148"/>
      <c r="G551" s="148"/>
      <c r="H551" s="148"/>
      <c r="I551" s="148"/>
      <c r="J551" s="148"/>
      <c r="K551" s="148"/>
      <c r="L551" s="148"/>
      <c r="M551" s="148"/>
      <c r="N551" s="202"/>
      <c r="O551" s="203"/>
      <c r="P551" s="78"/>
    </row>
    <row r="552" spans="2:16" s="17" customFormat="1" x14ac:dyDescent="0.25">
      <c r="B552" s="109" t="s">
        <v>1165</v>
      </c>
      <c r="C552" s="225" t="s">
        <v>1170</v>
      </c>
      <c r="D552" s="72">
        <f t="shared" si="152"/>
        <v>0</v>
      </c>
      <c r="E552" s="136"/>
      <c r="F552" s="136"/>
      <c r="G552" s="136"/>
      <c r="H552" s="136"/>
      <c r="I552" s="136"/>
      <c r="J552" s="136"/>
      <c r="K552" s="136"/>
      <c r="L552" s="136"/>
      <c r="M552" s="136"/>
      <c r="N552" s="37"/>
      <c r="O552" s="76"/>
      <c r="P552" s="78"/>
    </row>
    <row r="553" spans="2:16" s="17" customFormat="1" x14ac:dyDescent="0.25">
      <c r="B553" s="109" t="s">
        <v>1166</v>
      </c>
      <c r="C553" s="225" t="s">
        <v>1171</v>
      </c>
      <c r="D553" s="72">
        <f t="shared" si="152"/>
        <v>0</v>
      </c>
      <c r="E553" s="136"/>
      <c r="F553" s="136"/>
      <c r="G553" s="136"/>
      <c r="H553" s="136"/>
      <c r="I553" s="136"/>
      <c r="J553" s="136"/>
      <c r="K553" s="136"/>
      <c r="L553" s="136"/>
      <c r="M553" s="136"/>
      <c r="N553" s="37"/>
      <c r="O553" s="76"/>
      <c r="P553" s="78"/>
    </row>
    <row r="554" spans="2:16" s="17" customFormat="1" x14ac:dyDescent="0.25">
      <c r="B554" s="109" t="s">
        <v>1167</v>
      </c>
      <c r="C554" s="225" t="s">
        <v>1172</v>
      </c>
      <c r="D554" s="72">
        <f t="shared" si="152"/>
        <v>0</v>
      </c>
      <c r="E554" s="136"/>
      <c r="F554" s="136"/>
      <c r="G554" s="136"/>
      <c r="H554" s="136"/>
      <c r="I554" s="136"/>
      <c r="J554" s="136"/>
      <c r="K554" s="136"/>
      <c r="L554" s="136"/>
      <c r="M554" s="136"/>
      <c r="N554" s="37"/>
      <c r="O554" s="76"/>
      <c r="P554" s="78"/>
    </row>
    <row r="555" spans="2:16" s="17" customFormat="1" x14ac:dyDescent="0.25">
      <c r="B555" s="109" t="s">
        <v>1168</v>
      </c>
      <c r="C555" s="225" t="s">
        <v>1173</v>
      </c>
      <c r="D555" s="72">
        <f t="shared" si="152"/>
        <v>0</v>
      </c>
      <c r="E555" s="136"/>
      <c r="F555" s="136"/>
      <c r="G555" s="136"/>
      <c r="H555" s="136"/>
      <c r="I555" s="136"/>
      <c r="J555" s="136"/>
      <c r="K555" s="136"/>
      <c r="L555" s="136"/>
      <c r="M555" s="136"/>
      <c r="N555" s="37"/>
      <c r="O555" s="76"/>
      <c r="P555" s="78"/>
    </row>
    <row r="556" spans="2:16" ht="30" x14ac:dyDescent="0.25">
      <c r="B556" s="199" t="s">
        <v>480</v>
      </c>
      <c r="C556" s="226" t="s">
        <v>31</v>
      </c>
      <c r="D556" s="59"/>
      <c r="E556" s="60"/>
      <c r="F556" s="60"/>
      <c r="G556" s="60"/>
      <c r="H556" s="60"/>
      <c r="I556" s="60"/>
      <c r="J556" s="60"/>
      <c r="K556" s="60"/>
      <c r="L556" s="60"/>
      <c r="M556" s="60"/>
      <c r="N556" s="200"/>
      <c r="O556" s="201"/>
      <c r="P556" s="42"/>
    </row>
    <row r="557" spans="2:16" s="21" customFormat="1" ht="75" x14ac:dyDescent="0.25">
      <c r="B557" s="107" t="s">
        <v>481</v>
      </c>
      <c r="C557" s="216" t="s">
        <v>1449</v>
      </c>
      <c r="D557" s="55"/>
      <c r="E557" s="56"/>
      <c r="F557" s="56"/>
      <c r="G557" s="56"/>
      <c r="H557" s="56"/>
      <c r="I557" s="56"/>
      <c r="J557" s="56"/>
      <c r="K557" s="56"/>
      <c r="L557" s="56"/>
      <c r="M557" s="56"/>
      <c r="N557" s="33"/>
      <c r="O557" s="74"/>
      <c r="P557" s="42"/>
    </row>
    <row r="558" spans="2:16" s="21" customFormat="1" ht="30" x14ac:dyDescent="0.25">
      <c r="B558" s="107" t="s">
        <v>482</v>
      </c>
      <c r="C558" s="216" t="s">
        <v>511</v>
      </c>
      <c r="D558" s="72">
        <f t="shared" ref="D558:D560" si="154">SUM(E558:I558)+SUM(K558:M558)</f>
        <v>0</v>
      </c>
      <c r="E558" s="136"/>
      <c r="F558" s="136"/>
      <c r="G558" s="136"/>
      <c r="H558" s="136"/>
      <c r="I558" s="136"/>
      <c r="J558" s="136"/>
      <c r="K558" s="136"/>
      <c r="L558" s="136"/>
      <c r="M558" s="136"/>
      <c r="N558" s="37" t="str">
        <f>IF((D558&lt;=D$10)*AND(E558&lt;=E$10)*AND(F558&lt;=F$10)*AND(G558&lt;=G$10)*AND(H558&lt;=H$10)*AND(I558&lt;=I$10)*AND(K558&lt;=K$10)*AND(L558&lt;=L$10)*AND(M558&lt;=M$10)*AND(J558&lt;=J$10),"Выполнено","ПРОВЕРИТЬ (таких муниципальных образований не может быть больше их общего числа)")</f>
        <v>Выполнено</v>
      </c>
      <c r="O558" s="76"/>
      <c r="P558" s="42"/>
    </row>
    <row r="559" spans="2:16" s="21" customFormat="1" ht="45" x14ac:dyDescent="0.25">
      <c r="B559" s="107" t="s">
        <v>483</v>
      </c>
      <c r="C559" s="216" t="s">
        <v>1425</v>
      </c>
      <c r="D559" s="72">
        <f t="shared" si="154"/>
        <v>0</v>
      </c>
      <c r="E559" s="52"/>
      <c r="F559" s="52"/>
      <c r="G559" s="52"/>
      <c r="H559" s="52"/>
      <c r="I559" s="52"/>
      <c r="J559" s="52"/>
      <c r="K559" s="136"/>
      <c r="L559" s="136"/>
      <c r="M559" s="136"/>
      <c r="N559" s="37" t="str">
        <f>IF((D559&lt;=D$10)*AND(E559&lt;=E$10)*AND(F559&lt;=F$10)*AND(G559&lt;=G$10)*AND(H559&lt;=H$10)*AND(I559&lt;=I$10)*AND(K559&lt;=K$10)*AND(L559&lt;=L$10)*AND(M559&lt;=M$10)*AND(J559&lt;=J$10),"Выполнено","ПРОВЕРИТЬ (таких муниципальных образований не может быть больше их общего числа)")</f>
        <v>Выполнено</v>
      </c>
      <c r="O559" s="76"/>
      <c r="P559" s="42"/>
    </row>
    <row r="560" spans="2:16" ht="45" x14ac:dyDescent="0.25">
      <c r="B560" s="107" t="s">
        <v>484</v>
      </c>
      <c r="C560" s="216" t="s">
        <v>1450</v>
      </c>
      <c r="D560" s="72">
        <f t="shared" si="154"/>
        <v>0</v>
      </c>
      <c r="E560" s="52"/>
      <c r="F560" s="52"/>
      <c r="G560" s="52"/>
      <c r="H560" s="52"/>
      <c r="I560" s="52"/>
      <c r="J560" s="52"/>
      <c r="K560" s="136"/>
      <c r="L560" s="136"/>
      <c r="M560" s="136"/>
      <c r="N560" s="37" t="str">
        <f>IF((D560&lt;=D559)*AND(E560&lt;=E559)*AND(F560&lt;=F559)*AND(G560&lt;=G559)*AND(H560&lt;=H559)*AND(I560&lt;=I559)*AND(K560&lt;=K559)*AND(L560&lt;=L559)*AND(M560&lt;=M559)*AND(J560&lt;=J559),"Выполнено","ПРОВЕРИТЬ (значения этой строки не могут быть больше предыдущей)
)")</f>
        <v>Выполнено</v>
      </c>
      <c r="O560" s="76"/>
      <c r="P560" s="42"/>
    </row>
    <row r="561" spans="2:16" s="21" customFormat="1" ht="60" x14ac:dyDescent="0.25">
      <c r="B561" s="107" t="s">
        <v>485</v>
      </c>
      <c r="C561" s="216" t="s">
        <v>1451</v>
      </c>
      <c r="D561" s="55"/>
      <c r="E561" s="56"/>
      <c r="F561" s="56"/>
      <c r="G561" s="56"/>
      <c r="H561" s="56"/>
      <c r="I561" s="56"/>
      <c r="J561" s="56"/>
      <c r="K561" s="56"/>
      <c r="L561" s="56"/>
      <c r="M561" s="56"/>
      <c r="N561" s="33"/>
      <c r="O561" s="74"/>
      <c r="P561" s="42"/>
    </row>
    <row r="562" spans="2:16" s="21" customFormat="1" x14ac:dyDescent="0.25">
      <c r="B562" s="107" t="s">
        <v>486</v>
      </c>
      <c r="C562" s="216" t="s">
        <v>166</v>
      </c>
      <c r="D562" s="72">
        <f t="shared" ref="D562:D597" si="155">SUM(E562:I562)+SUM(K562:M562)</f>
        <v>0</v>
      </c>
      <c r="E562" s="52"/>
      <c r="F562" s="52"/>
      <c r="G562" s="52"/>
      <c r="H562" s="52"/>
      <c r="I562" s="52"/>
      <c r="J562" s="52"/>
      <c r="K562" s="136"/>
      <c r="L562" s="136"/>
      <c r="M562" s="136"/>
      <c r="N562" s="37" t="str">
        <f>IF((D562&lt;=D$10)*AND(E562&lt;=E$10)*AND(F562&lt;=F$10)*AND(G562&lt;=G$10)*AND(H562&lt;=H$10)*AND(I562&lt;=I$10)*AND(K562&lt;=K$10)*AND(L562&lt;=L$10)*AND(M562&lt;=M$10)*AND(J562&lt;=J$10),"Выполнено","ПРОВЕРИТЬ (таких муниципальных образований не может быть больше их общего числа)")</f>
        <v>Выполнено</v>
      </c>
      <c r="O562" s="76"/>
      <c r="P562" s="42"/>
    </row>
    <row r="563" spans="2:16" s="21" customFormat="1" ht="45" x14ac:dyDescent="0.25">
      <c r="B563" s="107" t="s">
        <v>487</v>
      </c>
      <c r="C563" s="216" t="s">
        <v>167</v>
      </c>
      <c r="D563" s="72">
        <f t="shared" si="155"/>
        <v>0</v>
      </c>
      <c r="E563" s="52"/>
      <c r="F563" s="52"/>
      <c r="G563" s="52"/>
      <c r="H563" s="52"/>
      <c r="I563" s="52"/>
      <c r="J563" s="52"/>
      <c r="K563" s="136"/>
      <c r="L563" s="136"/>
      <c r="M563" s="136"/>
      <c r="N563" s="37" t="str">
        <f>IF((D563&lt;=D$10)*AND(E563&lt;=E$10)*AND(F563&lt;=F$10)*AND(G563&lt;=G$10)*AND(H563&lt;=H$10)*AND(I563&lt;=I$10)*AND(K563&lt;=K$10)*AND(L563&lt;=L$10)*AND(M563&lt;=M$10)*AND(J563&lt;=J$10),"Выполнено","ПРОВЕРИТЬ (таких муниципальных образований не может быть больше их общего числа)")</f>
        <v>Выполнено</v>
      </c>
      <c r="O563" s="76"/>
      <c r="P563" s="42"/>
    </row>
    <row r="564" spans="2:16" s="21" customFormat="1" ht="45" x14ac:dyDescent="0.25">
      <c r="B564" s="107" t="s">
        <v>488</v>
      </c>
      <c r="C564" s="216" t="s">
        <v>168</v>
      </c>
      <c r="D564" s="72">
        <f t="shared" si="155"/>
        <v>0</v>
      </c>
      <c r="E564" s="52"/>
      <c r="F564" s="52"/>
      <c r="G564" s="52"/>
      <c r="H564" s="52"/>
      <c r="I564" s="52"/>
      <c r="J564" s="52"/>
      <c r="K564" s="136"/>
      <c r="L564" s="136"/>
      <c r="M564" s="136"/>
      <c r="N564" s="37" t="str">
        <f>IF((D564&lt;=D563)*AND(E564&lt;=E563)*AND(F564&lt;=F563)*AND(G564&lt;=G563)*AND(H564&lt;=H563)*AND(I564&lt;=I563)*AND(K564&lt;=K563)*AND(L564&lt;=L563)*AND(M564&lt;=M563)*AND(J564&lt;=J563),"Выполнено","ПРОВЕРИТЬ (значения этой строки не могут быть больше предыдущей)
)")</f>
        <v>Выполнено</v>
      </c>
      <c r="O564" s="76"/>
      <c r="P564" s="42"/>
    </row>
    <row r="565" spans="2:16" s="21" customFormat="1" ht="45" x14ac:dyDescent="0.25">
      <c r="B565" s="107" t="s">
        <v>354</v>
      </c>
      <c r="C565" s="216" t="s">
        <v>1452</v>
      </c>
      <c r="D565" s="72">
        <f t="shared" si="155"/>
        <v>0</v>
      </c>
      <c r="E565" s="52"/>
      <c r="F565" s="52"/>
      <c r="G565" s="52"/>
      <c r="H565" s="52"/>
      <c r="I565" s="52"/>
      <c r="J565" s="52"/>
      <c r="K565" s="136"/>
      <c r="L565" s="136"/>
      <c r="M565" s="136"/>
      <c r="N565" s="37" t="str">
        <f>IF((D565&lt;=D$10-D559)*AND(E565&lt;=E$10-E559)*AND(F565&lt;=F$10-F559)*AND(G565&lt;=G$10-G559)*AND(H565&lt;=H$10-H559)*AND(I565&lt;=I$10-I559)*AND(K565&lt;=K$10-K559)*AND(L565&lt;=L$10-L559)*AND(M565&lt;=M$10-M559)*AND(J565&lt;=J$10-J559),"Выполнено","ПРОВЕРИТЬ (таких муниципальных образований не может быть больше разности между общим числом муниципалитетов и числом муниципалитетов с учреждениями)")</f>
        <v>Выполнено</v>
      </c>
      <c r="O565" s="76"/>
      <c r="P565" s="42"/>
    </row>
    <row r="566" spans="2:16" s="21" customFormat="1" ht="30" x14ac:dyDescent="0.25">
      <c r="B566" s="107" t="s">
        <v>802</v>
      </c>
      <c r="C566" s="216" t="s">
        <v>1205</v>
      </c>
      <c r="D566" s="72">
        <f t="shared" si="155"/>
        <v>0</v>
      </c>
      <c r="E566" s="52"/>
      <c r="F566" s="52"/>
      <c r="G566" s="52"/>
      <c r="H566" s="52"/>
      <c r="I566" s="52"/>
      <c r="J566" s="52"/>
      <c r="K566" s="136"/>
      <c r="L566" s="136"/>
      <c r="M566" s="136"/>
      <c r="N566" s="37" t="str">
        <f>IF((D566&gt;=D558)*AND(E566&gt;=E558)*AND(F566&gt;=F558)*AND(G566&gt;=G558)*AND(H566&gt;=H558)*AND(I566&gt;=I558)*AND(K566&gt;=K558)*AND(L566&gt;=L558)*AND(M566&gt;=M558)*AND(J566&gt;=J558),"Выполнено","ПРОВЕРИТЬ (самих МУПов не может быть меньше чем муниципалитетов - учредителей МУПов)
)")</f>
        <v>Выполнено</v>
      </c>
      <c r="O566" s="76"/>
      <c r="P566" s="42"/>
    </row>
    <row r="567" spans="2:16" s="73" customFormat="1" x14ac:dyDescent="0.25">
      <c r="B567" s="107" t="s">
        <v>1210</v>
      </c>
      <c r="C567" s="216" t="s">
        <v>1096</v>
      </c>
      <c r="D567" s="72">
        <f t="shared" ref="D567" si="156">SUM(E567:I567)+SUM(K567:M567)</f>
        <v>0</v>
      </c>
      <c r="E567" s="134"/>
      <c r="F567" s="134"/>
      <c r="G567" s="134"/>
      <c r="H567" s="134"/>
      <c r="I567" s="134"/>
      <c r="J567" s="134"/>
      <c r="K567" s="134"/>
      <c r="L567" s="134"/>
      <c r="M567" s="134"/>
      <c r="N567" s="27"/>
      <c r="O567" s="76"/>
      <c r="P567" s="78"/>
    </row>
    <row r="568" spans="2:16" s="73" customFormat="1" x14ac:dyDescent="0.25">
      <c r="B568" s="107" t="s">
        <v>981</v>
      </c>
      <c r="C568" s="216" t="s">
        <v>1197</v>
      </c>
      <c r="D568" s="72">
        <f>SUM(E568:I568)+SUM(K568:M568)</f>
        <v>0</v>
      </c>
      <c r="E568" s="134"/>
      <c r="F568" s="134"/>
      <c r="G568" s="134"/>
      <c r="H568" s="134"/>
      <c r="I568" s="134"/>
      <c r="J568" s="134"/>
      <c r="K568" s="134"/>
      <c r="L568" s="134"/>
      <c r="M568" s="134"/>
      <c r="N568" s="27"/>
      <c r="O568" s="76"/>
      <c r="P568" s="78"/>
    </row>
    <row r="569" spans="2:16" s="73" customFormat="1" x14ac:dyDescent="0.25">
      <c r="B569" s="107" t="s">
        <v>1211</v>
      </c>
      <c r="C569" s="216" t="s">
        <v>1198</v>
      </c>
      <c r="D569" s="72">
        <f>SUM(E569:I569)+SUM(K569:M569)</f>
        <v>0</v>
      </c>
      <c r="E569" s="134"/>
      <c r="F569" s="134"/>
      <c r="G569" s="134"/>
      <c r="H569" s="134"/>
      <c r="I569" s="134"/>
      <c r="J569" s="134"/>
      <c r="K569" s="134"/>
      <c r="L569" s="134"/>
      <c r="M569" s="134"/>
      <c r="N569" s="27"/>
      <c r="O569" s="76"/>
      <c r="P569" s="78"/>
    </row>
    <row r="570" spans="2:16" s="73" customFormat="1" ht="45" x14ac:dyDescent="0.25">
      <c r="B570" s="107" t="s">
        <v>1212</v>
      </c>
      <c r="C570" s="216" t="s">
        <v>1201</v>
      </c>
      <c r="D570" s="72">
        <f t="shared" ref="D570:D574" si="157">SUM(E570:I570)+SUM(K570:M570)</f>
        <v>0</v>
      </c>
      <c r="E570" s="134"/>
      <c r="F570" s="134"/>
      <c r="G570" s="134"/>
      <c r="H570" s="134"/>
      <c r="I570" s="134"/>
      <c r="J570" s="134"/>
      <c r="K570" s="134"/>
      <c r="L570" s="134"/>
      <c r="M570" s="134"/>
      <c r="N570" s="27"/>
      <c r="O570" s="76"/>
      <c r="P570" s="78"/>
    </row>
    <row r="571" spans="2:16" s="73" customFormat="1" ht="45" x14ac:dyDescent="0.25">
      <c r="B571" s="107" t="s">
        <v>1213</v>
      </c>
      <c r="C571" s="216" t="s">
        <v>1202</v>
      </c>
      <c r="D571" s="72">
        <f t="shared" si="157"/>
        <v>0</v>
      </c>
      <c r="E571" s="134"/>
      <c r="F571" s="134"/>
      <c r="G571" s="134"/>
      <c r="H571" s="134"/>
      <c r="I571" s="134"/>
      <c r="J571" s="134"/>
      <c r="K571" s="134"/>
      <c r="L571" s="134"/>
      <c r="M571" s="134"/>
      <c r="N571" s="27"/>
      <c r="O571" s="76"/>
      <c r="P571" s="78"/>
    </row>
    <row r="572" spans="2:16" s="73" customFormat="1" x14ac:dyDescent="0.25">
      <c r="B572" s="107" t="s">
        <v>1214</v>
      </c>
      <c r="C572" s="216" t="s">
        <v>1097</v>
      </c>
      <c r="D572" s="72">
        <f t="shared" si="157"/>
        <v>0</v>
      </c>
      <c r="E572" s="134"/>
      <c r="F572" s="134"/>
      <c r="G572" s="134"/>
      <c r="H572" s="134"/>
      <c r="I572" s="134"/>
      <c r="J572" s="134"/>
      <c r="K572" s="134"/>
      <c r="L572" s="134"/>
      <c r="M572" s="134"/>
      <c r="N572" s="27"/>
      <c r="O572" s="76"/>
      <c r="P572" s="78"/>
    </row>
    <row r="573" spans="2:16" s="73" customFormat="1" x14ac:dyDescent="0.25">
      <c r="B573" s="107" t="s">
        <v>1215</v>
      </c>
      <c r="C573" s="216" t="s">
        <v>1098</v>
      </c>
      <c r="D573" s="72">
        <f t="shared" si="157"/>
        <v>0</v>
      </c>
      <c r="E573" s="134"/>
      <c r="F573" s="134"/>
      <c r="G573" s="134"/>
      <c r="H573" s="134"/>
      <c r="I573" s="134"/>
      <c r="J573" s="134"/>
      <c r="K573" s="134"/>
      <c r="L573" s="134"/>
      <c r="M573" s="134"/>
      <c r="N573" s="27"/>
      <c r="O573" s="76"/>
      <c r="P573" s="78"/>
    </row>
    <row r="574" spans="2:16" s="73" customFormat="1" x14ac:dyDescent="0.25">
      <c r="B574" s="107" t="s">
        <v>1216</v>
      </c>
      <c r="C574" s="216" t="s">
        <v>1103</v>
      </c>
      <c r="D574" s="72">
        <f t="shared" si="157"/>
        <v>0</v>
      </c>
      <c r="E574" s="134"/>
      <c r="F574" s="134"/>
      <c r="G574" s="134"/>
      <c r="H574" s="134"/>
      <c r="I574" s="134"/>
      <c r="J574" s="134"/>
      <c r="K574" s="134"/>
      <c r="L574" s="134"/>
      <c r="M574" s="134"/>
      <c r="N574" s="27"/>
      <c r="O574" s="76"/>
      <c r="P574" s="78"/>
    </row>
    <row r="575" spans="2:16" s="73" customFormat="1" x14ac:dyDescent="0.25">
      <c r="B575" s="107" t="s">
        <v>1217</v>
      </c>
      <c r="C575" s="216" t="s">
        <v>1152</v>
      </c>
      <c r="D575" s="72">
        <f>SUM(E575:I575)+SUM(K575:M575)</f>
        <v>0</v>
      </c>
      <c r="E575" s="153">
        <f t="shared" ref="E575:M575" si="158">E566-E567-E570-E571-E572-E573-E574</f>
        <v>0</v>
      </c>
      <c r="F575" s="153">
        <f t="shared" si="158"/>
        <v>0</v>
      </c>
      <c r="G575" s="153">
        <f t="shared" si="158"/>
        <v>0</v>
      </c>
      <c r="H575" s="153">
        <f t="shared" si="158"/>
        <v>0</v>
      </c>
      <c r="I575" s="153">
        <f t="shared" si="158"/>
        <v>0</v>
      </c>
      <c r="J575" s="153">
        <f t="shared" si="158"/>
        <v>0</v>
      </c>
      <c r="K575" s="153">
        <f t="shared" si="158"/>
        <v>0</v>
      </c>
      <c r="L575" s="153">
        <f t="shared" si="158"/>
        <v>0</v>
      </c>
      <c r="M575" s="153">
        <f t="shared" si="158"/>
        <v>0</v>
      </c>
      <c r="N575" s="27"/>
      <c r="O575" s="76"/>
      <c r="P575" s="78"/>
    </row>
    <row r="576" spans="2:16" s="73" customFormat="1" ht="30" x14ac:dyDescent="0.25">
      <c r="B576" s="107" t="s">
        <v>1218</v>
      </c>
      <c r="C576" s="216" t="s">
        <v>1206</v>
      </c>
      <c r="D576" s="72">
        <f t="shared" si="155"/>
        <v>0</v>
      </c>
      <c r="E576" s="52"/>
      <c r="F576" s="52"/>
      <c r="G576" s="52"/>
      <c r="H576" s="52"/>
      <c r="I576" s="52"/>
      <c r="J576" s="52"/>
      <c r="K576" s="136"/>
      <c r="L576" s="136"/>
      <c r="M576" s="136"/>
      <c r="N576" s="37"/>
      <c r="O576" s="76"/>
      <c r="P576" s="42"/>
    </row>
    <row r="577" spans="2:16" s="73" customFormat="1" x14ac:dyDescent="0.25">
      <c r="B577" s="107" t="s">
        <v>1219</v>
      </c>
      <c r="C577" s="216" t="s">
        <v>1096</v>
      </c>
      <c r="D577" s="72">
        <f t="shared" ref="D577" si="159">SUM(E577:I577)+SUM(K577:M577)</f>
        <v>0</v>
      </c>
      <c r="E577" s="134"/>
      <c r="F577" s="134"/>
      <c r="G577" s="134"/>
      <c r="H577" s="134"/>
      <c r="I577" s="134"/>
      <c r="J577" s="134"/>
      <c r="K577" s="134"/>
      <c r="L577" s="134"/>
      <c r="M577" s="134"/>
      <c r="N577" s="27"/>
      <c r="O577" s="76"/>
      <c r="P577" s="78"/>
    </row>
    <row r="578" spans="2:16" s="73" customFormat="1" x14ac:dyDescent="0.25">
      <c r="B578" s="107" t="s">
        <v>1220</v>
      </c>
      <c r="C578" s="216" t="s">
        <v>1197</v>
      </c>
      <c r="D578" s="72">
        <f>SUM(E578:I578)+SUM(K578:M578)</f>
        <v>0</v>
      </c>
      <c r="E578" s="134"/>
      <c r="F578" s="134"/>
      <c r="G578" s="134"/>
      <c r="H578" s="134"/>
      <c r="I578" s="134"/>
      <c r="J578" s="134"/>
      <c r="K578" s="134"/>
      <c r="L578" s="134"/>
      <c r="M578" s="134"/>
      <c r="N578" s="27"/>
      <c r="O578" s="76"/>
      <c r="P578" s="78"/>
    </row>
    <row r="579" spans="2:16" s="73" customFormat="1" x14ac:dyDescent="0.25">
      <c r="B579" s="107" t="s">
        <v>1221</v>
      </c>
      <c r="C579" s="216" t="s">
        <v>1198</v>
      </c>
      <c r="D579" s="72">
        <f>SUM(E579:I579)+SUM(K579:M579)</f>
        <v>0</v>
      </c>
      <c r="E579" s="134"/>
      <c r="F579" s="134"/>
      <c r="G579" s="134"/>
      <c r="H579" s="134"/>
      <c r="I579" s="134"/>
      <c r="J579" s="134"/>
      <c r="K579" s="134"/>
      <c r="L579" s="134"/>
      <c r="M579" s="134"/>
      <c r="N579" s="27"/>
      <c r="O579" s="76"/>
      <c r="P579" s="78"/>
    </row>
    <row r="580" spans="2:16" s="73" customFormat="1" ht="45" x14ac:dyDescent="0.25">
      <c r="B580" s="107" t="s">
        <v>1222</v>
      </c>
      <c r="C580" s="216" t="s">
        <v>1201</v>
      </c>
      <c r="D580" s="72">
        <f t="shared" ref="D580:D584" si="160">SUM(E580:I580)+SUM(K580:M580)</f>
        <v>0</v>
      </c>
      <c r="E580" s="134"/>
      <c r="F580" s="134"/>
      <c r="G580" s="134"/>
      <c r="H580" s="134"/>
      <c r="I580" s="134"/>
      <c r="J580" s="134"/>
      <c r="K580" s="134"/>
      <c r="L580" s="134"/>
      <c r="M580" s="134"/>
      <c r="N580" s="27"/>
      <c r="O580" s="76"/>
      <c r="P580" s="78"/>
    </row>
    <row r="581" spans="2:16" s="73" customFormat="1" ht="45" x14ac:dyDescent="0.25">
      <c r="B581" s="107" t="s">
        <v>1223</v>
      </c>
      <c r="C581" s="216" t="s">
        <v>1202</v>
      </c>
      <c r="D581" s="72">
        <f t="shared" si="160"/>
        <v>0</v>
      </c>
      <c r="E581" s="134"/>
      <c r="F581" s="134"/>
      <c r="G581" s="134"/>
      <c r="H581" s="134"/>
      <c r="I581" s="134"/>
      <c r="J581" s="134"/>
      <c r="K581" s="134"/>
      <c r="L581" s="134"/>
      <c r="M581" s="134"/>
      <c r="N581" s="27"/>
      <c r="O581" s="76"/>
      <c r="P581" s="78"/>
    </row>
    <row r="582" spans="2:16" s="73" customFormat="1" x14ac:dyDescent="0.25">
      <c r="B582" s="107" t="s">
        <v>1224</v>
      </c>
      <c r="C582" s="216" t="s">
        <v>1097</v>
      </c>
      <c r="D582" s="72">
        <f t="shared" si="160"/>
        <v>0</v>
      </c>
      <c r="E582" s="134"/>
      <c r="F582" s="134"/>
      <c r="G582" s="134"/>
      <c r="H582" s="134"/>
      <c r="I582" s="134"/>
      <c r="J582" s="134"/>
      <c r="K582" s="134"/>
      <c r="L582" s="134"/>
      <c r="M582" s="134"/>
      <c r="N582" s="27"/>
      <c r="O582" s="76"/>
      <c r="P582" s="78"/>
    </row>
    <row r="583" spans="2:16" s="73" customFormat="1" x14ac:dyDescent="0.25">
      <c r="B583" s="107" t="s">
        <v>1225</v>
      </c>
      <c r="C583" s="216" t="s">
        <v>1098</v>
      </c>
      <c r="D583" s="72">
        <f t="shared" si="160"/>
        <v>0</v>
      </c>
      <c r="E583" s="134"/>
      <c r="F583" s="134"/>
      <c r="G583" s="134"/>
      <c r="H583" s="134"/>
      <c r="I583" s="134"/>
      <c r="J583" s="134"/>
      <c r="K583" s="134"/>
      <c r="L583" s="134"/>
      <c r="M583" s="134"/>
      <c r="N583" s="27"/>
      <c r="O583" s="76"/>
      <c r="P583" s="78"/>
    </row>
    <row r="584" spans="2:16" s="73" customFormat="1" x14ac:dyDescent="0.25">
      <c r="B584" s="107" t="s">
        <v>1226</v>
      </c>
      <c r="C584" s="216" t="s">
        <v>1103</v>
      </c>
      <c r="D584" s="72">
        <f t="shared" si="160"/>
        <v>0</v>
      </c>
      <c r="E584" s="134"/>
      <c r="F584" s="134"/>
      <c r="G584" s="134"/>
      <c r="H584" s="134"/>
      <c r="I584" s="134"/>
      <c r="J584" s="134"/>
      <c r="K584" s="134"/>
      <c r="L584" s="134"/>
      <c r="M584" s="134"/>
      <c r="N584" s="27"/>
      <c r="O584" s="76"/>
      <c r="P584" s="78"/>
    </row>
    <row r="585" spans="2:16" s="73" customFormat="1" x14ac:dyDescent="0.25">
      <c r="B585" s="107" t="s">
        <v>1227</v>
      </c>
      <c r="C585" s="216" t="s">
        <v>1152</v>
      </c>
      <c r="D585" s="72">
        <f>SUM(E585:I585)+SUM(K585:M585)</f>
        <v>0</v>
      </c>
      <c r="E585" s="153">
        <f t="shared" ref="E585:M585" si="161">E576-E577-E580-E581-E582-E583-E584</f>
        <v>0</v>
      </c>
      <c r="F585" s="153">
        <f t="shared" si="161"/>
        <v>0</v>
      </c>
      <c r="G585" s="153">
        <f t="shared" si="161"/>
        <v>0</v>
      </c>
      <c r="H585" s="153">
        <f t="shared" si="161"/>
        <v>0</v>
      </c>
      <c r="I585" s="153">
        <f t="shared" si="161"/>
        <v>0</v>
      </c>
      <c r="J585" s="153">
        <f t="shared" si="161"/>
        <v>0</v>
      </c>
      <c r="K585" s="153">
        <f t="shared" si="161"/>
        <v>0</v>
      </c>
      <c r="L585" s="153">
        <f t="shared" si="161"/>
        <v>0</v>
      </c>
      <c r="M585" s="153">
        <f t="shared" si="161"/>
        <v>0</v>
      </c>
      <c r="N585" s="27"/>
      <c r="O585" s="76"/>
      <c r="P585" s="78"/>
    </row>
    <row r="586" spans="2:16" s="73" customFormat="1" x14ac:dyDescent="0.25">
      <c r="B586" s="107" t="s">
        <v>803</v>
      </c>
      <c r="C586" s="216" t="s">
        <v>1207</v>
      </c>
      <c r="D586" s="72">
        <f t="shared" si="155"/>
        <v>0</v>
      </c>
      <c r="E586" s="52"/>
      <c r="F586" s="52"/>
      <c r="G586" s="52"/>
      <c r="H586" s="52"/>
      <c r="I586" s="52"/>
      <c r="J586" s="52"/>
      <c r="K586" s="136"/>
      <c r="L586" s="136"/>
      <c r="M586" s="136"/>
      <c r="N586" s="37"/>
      <c r="O586" s="76"/>
      <c r="P586" s="42"/>
    </row>
    <row r="587" spans="2:16" s="73" customFormat="1" x14ac:dyDescent="0.25">
      <c r="B587" s="107" t="s">
        <v>982</v>
      </c>
      <c r="C587" s="216" t="s">
        <v>1096</v>
      </c>
      <c r="D587" s="72">
        <f t="shared" ref="D587" si="162">SUM(E587:I587)+SUM(K587:M587)</f>
        <v>0</v>
      </c>
      <c r="E587" s="134"/>
      <c r="F587" s="134"/>
      <c r="G587" s="134"/>
      <c r="H587" s="134"/>
      <c r="I587" s="134"/>
      <c r="J587" s="134"/>
      <c r="K587" s="134"/>
      <c r="L587" s="134"/>
      <c r="M587" s="134"/>
      <c r="N587" s="27"/>
      <c r="O587" s="76"/>
      <c r="P587" s="78"/>
    </row>
    <row r="588" spans="2:16" s="73" customFormat="1" x14ac:dyDescent="0.25">
      <c r="B588" s="107" t="s">
        <v>983</v>
      </c>
      <c r="C588" s="216" t="s">
        <v>1197</v>
      </c>
      <c r="D588" s="72">
        <f>SUM(E588:I588)+SUM(K588:M588)</f>
        <v>0</v>
      </c>
      <c r="E588" s="134"/>
      <c r="F588" s="134"/>
      <c r="G588" s="134"/>
      <c r="H588" s="134"/>
      <c r="I588" s="134"/>
      <c r="J588" s="134"/>
      <c r="K588" s="134"/>
      <c r="L588" s="134"/>
      <c r="M588" s="134"/>
      <c r="N588" s="27"/>
      <c r="O588" s="76"/>
      <c r="P588" s="78"/>
    </row>
    <row r="589" spans="2:16" s="73" customFormat="1" x14ac:dyDescent="0.25">
      <c r="B589" s="107" t="s">
        <v>1099</v>
      </c>
      <c r="C589" s="216" t="s">
        <v>1198</v>
      </c>
      <c r="D589" s="72">
        <f>SUM(E589:I589)+SUM(K589:M589)</f>
        <v>0</v>
      </c>
      <c r="E589" s="134"/>
      <c r="F589" s="134"/>
      <c r="G589" s="134"/>
      <c r="H589" s="134"/>
      <c r="I589" s="134"/>
      <c r="J589" s="134"/>
      <c r="K589" s="134"/>
      <c r="L589" s="134"/>
      <c r="M589" s="134"/>
      <c r="N589" s="27"/>
      <c r="O589" s="76"/>
      <c r="P589" s="78"/>
    </row>
    <row r="590" spans="2:16" s="73" customFormat="1" ht="45" x14ac:dyDescent="0.25">
      <c r="B590" s="107" t="s">
        <v>1100</v>
      </c>
      <c r="C590" s="216" t="s">
        <v>1201</v>
      </c>
      <c r="D590" s="72">
        <f t="shared" ref="D590:D594" si="163">SUM(E590:I590)+SUM(K590:M590)</f>
        <v>0</v>
      </c>
      <c r="E590" s="134"/>
      <c r="F590" s="134"/>
      <c r="G590" s="134"/>
      <c r="H590" s="134"/>
      <c r="I590" s="134"/>
      <c r="J590" s="134"/>
      <c r="K590" s="134"/>
      <c r="L590" s="134"/>
      <c r="M590" s="134"/>
      <c r="N590" s="27"/>
      <c r="O590" s="76"/>
      <c r="P590" s="78"/>
    </row>
    <row r="591" spans="2:16" s="73" customFormat="1" ht="45" x14ac:dyDescent="0.25">
      <c r="B591" s="107" t="s">
        <v>1104</v>
      </c>
      <c r="C591" s="216" t="s">
        <v>1202</v>
      </c>
      <c r="D591" s="72">
        <f t="shared" si="163"/>
        <v>0</v>
      </c>
      <c r="E591" s="134"/>
      <c r="F591" s="134"/>
      <c r="G591" s="134"/>
      <c r="H591" s="134"/>
      <c r="I591" s="134"/>
      <c r="J591" s="134"/>
      <c r="K591" s="134"/>
      <c r="L591" s="134"/>
      <c r="M591" s="134"/>
      <c r="N591" s="27"/>
      <c r="O591" s="76"/>
      <c r="P591" s="78"/>
    </row>
    <row r="592" spans="2:16" s="73" customFormat="1" x14ac:dyDescent="0.25">
      <c r="B592" s="107" t="s">
        <v>1105</v>
      </c>
      <c r="C592" s="216" t="s">
        <v>1097</v>
      </c>
      <c r="D592" s="72">
        <f t="shared" si="163"/>
        <v>0</v>
      </c>
      <c r="E592" s="134"/>
      <c r="F592" s="134"/>
      <c r="G592" s="134"/>
      <c r="H592" s="134"/>
      <c r="I592" s="134"/>
      <c r="J592" s="134"/>
      <c r="K592" s="134"/>
      <c r="L592" s="134"/>
      <c r="M592" s="134"/>
      <c r="N592" s="27"/>
      <c r="O592" s="76"/>
      <c r="P592" s="78"/>
    </row>
    <row r="593" spans="2:16" s="73" customFormat="1" x14ac:dyDescent="0.25">
      <c r="B593" s="107" t="s">
        <v>1153</v>
      </c>
      <c r="C593" s="216" t="s">
        <v>1098</v>
      </c>
      <c r="D593" s="72">
        <f t="shared" si="163"/>
        <v>0</v>
      </c>
      <c r="E593" s="134"/>
      <c r="F593" s="134"/>
      <c r="G593" s="134"/>
      <c r="H593" s="134"/>
      <c r="I593" s="134"/>
      <c r="J593" s="134"/>
      <c r="K593" s="134"/>
      <c r="L593" s="134"/>
      <c r="M593" s="134"/>
      <c r="N593" s="27"/>
      <c r="O593" s="76"/>
      <c r="P593" s="78"/>
    </row>
    <row r="594" spans="2:16" s="73" customFormat="1" x14ac:dyDescent="0.25">
      <c r="B594" s="107" t="s">
        <v>1199</v>
      </c>
      <c r="C594" s="216" t="s">
        <v>1103</v>
      </c>
      <c r="D594" s="72">
        <f t="shared" si="163"/>
        <v>0</v>
      </c>
      <c r="E594" s="134"/>
      <c r="F594" s="134"/>
      <c r="G594" s="134"/>
      <c r="H594" s="134"/>
      <c r="I594" s="134"/>
      <c r="J594" s="134"/>
      <c r="K594" s="134"/>
      <c r="L594" s="134"/>
      <c r="M594" s="134"/>
      <c r="N594" s="27"/>
      <c r="O594" s="76"/>
      <c r="P594" s="78"/>
    </row>
    <row r="595" spans="2:16" s="73" customFormat="1" x14ac:dyDescent="0.25">
      <c r="B595" s="107" t="s">
        <v>1200</v>
      </c>
      <c r="C595" s="216" t="s">
        <v>1152</v>
      </c>
      <c r="D595" s="72">
        <f>SUM(E595:I595)+SUM(K595:M595)</f>
        <v>0</v>
      </c>
      <c r="E595" s="153">
        <f t="shared" ref="E595:M595" si="164">E586-E587-E590-E591-E592-E593-E594</f>
        <v>0</v>
      </c>
      <c r="F595" s="153">
        <f t="shared" si="164"/>
        <v>0</v>
      </c>
      <c r="G595" s="153">
        <f t="shared" si="164"/>
        <v>0</v>
      </c>
      <c r="H595" s="153">
        <f t="shared" si="164"/>
        <v>0</v>
      </c>
      <c r="I595" s="153">
        <f t="shared" si="164"/>
        <v>0</v>
      </c>
      <c r="J595" s="153">
        <f t="shared" si="164"/>
        <v>0</v>
      </c>
      <c r="K595" s="153">
        <f t="shared" si="164"/>
        <v>0</v>
      </c>
      <c r="L595" s="153">
        <f t="shared" si="164"/>
        <v>0</v>
      </c>
      <c r="M595" s="153">
        <f t="shared" si="164"/>
        <v>0</v>
      </c>
      <c r="N595" s="27"/>
      <c r="O595" s="76"/>
      <c r="P595" s="78"/>
    </row>
    <row r="596" spans="2:16" s="21" customFormat="1" ht="45" x14ac:dyDescent="0.25">
      <c r="B596" s="107" t="s">
        <v>1101</v>
      </c>
      <c r="C596" s="216" t="s">
        <v>512</v>
      </c>
      <c r="D596" s="72">
        <f t="shared" si="155"/>
        <v>1</v>
      </c>
      <c r="E596" s="52"/>
      <c r="F596" s="52"/>
      <c r="G596" s="54">
        <v>1</v>
      </c>
      <c r="H596" s="52"/>
      <c r="I596" s="52"/>
      <c r="J596" s="52"/>
      <c r="K596" s="136"/>
      <c r="L596" s="136"/>
      <c r="M596" s="136"/>
      <c r="N596" s="37" t="str">
        <f>IF((D596&gt;=D559)*AND(E596&gt;=E559)*AND(F596&gt;=F559)*AND(G596&gt;=G559)*AND(H596&gt;=H559)*AND(I596&gt;=I559)*AND(K596&gt;=K559)*AND(L596&gt;=L559)*AND(M596&gt;=M559)*AND(J596&gt;=J559),"Выполнено","ПРОВЕРИТЬ (самих учреждений не может быть меньше чем муниципалитетов с учреждениями)
)")</f>
        <v>Выполнено</v>
      </c>
      <c r="O596" s="76"/>
      <c r="P596" s="42"/>
    </row>
    <row r="597" spans="2:16" s="21" customFormat="1" ht="45" x14ac:dyDescent="0.25">
      <c r="B597" s="107" t="s">
        <v>1102</v>
      </c>
      <c r="C597" s="216" t="s">
        <v>1095</v>
      </c>
      <c r="D597" s="72">
        <f t="shared" si="155"/>
        <v>0</v>
      </c>
      <c r="E597" s="153">
        <f t="shared" ref="E597:M597" si="165">E596-E376</f>
        <v>0</v>
      </c>
      <c r="F597" s="153">
        <f t="shared" si="165"/>
        <v>0</v>
      </c>
      <c r="G597" s="153">
        <f t="shared" si="165"/>
        <v>0</v>
      </c>
      <c r="H597" s="153">
        <f t="shared" si="165"/>
        <v>0</v>
      </c>
      <c r="I597" s="153">
        <f t="shared" si="165"/>
        <v>0</v>
      </c>
      <c r="J597" s="153">
        <f t="shared" si="165"/>
        <v>0</v>
      </c>
      <c r="K597" s="153">
        <f t="shared" si="165"/>
        <v>0</v>
      </c>
      <c r="L597" s="153">
        <f t="shared" si="165"/>
        <v>0</v>
      </c>
      <c r="M597" s="153">
        <f t="shared" si="165"/>
        <v>0</v>
      </c>
      <c r="N597" s="37" t="str">
        <f>IF((D597&gt;=0)*AND(E597&gt;=0)*AND(F597&gt;=0)*AND(G597&gt;=0)*AND(H597&gt;=0)*AND(I597&gt;=0)*AND(K597&gt;=0)*AND(L597&gt;=0)*AND(M597&gt;=0)*AND(J597&gt;=0),"Выполнено","ПРОВЕРИТЬ (если органов местного самоуправления - юридических лиц (строка 16) оказалось больше, чем муниципальных учреждений (строка 24.5), значит при их подсчете допущены ошибки)")</f>
        <v>Выполнено</v>
      </c>
      <c r="O597" s="76"/>
      <c r="P597" s="48"/>
    </row>
    <row r="598" spans="2:16" s="73" customFormat="1" x14ac:dyDescent="0.25">
      <c r="B598" s="107" t="s">
        <v>1144</v>
      </c>
      <c r="C598" s="216" t="s">
        <v>1096</v>
      </c>
      <c r="D598" s="72">
        <f t="shared" ref="D598:D605" si="166">SUM(E598:I598)+SUM(K598:M598)</f>
        <v>0</v>
      </c>
      <c r="E598" s="134"/>
      <c r="F598" s="134"/>
      <c r="G598" s="134"/>
      <c r="H598" s="134"/>
      <c r="I598" s="134"/>
      <c r="J598" s="134"/>
      <c r="K598" s="134"/>
      <c r="L598" s="134"/>
      <c r="M598" s="134"/>
      <c r="N598" s="27"/>
      <c r="O598" s="76"/>
      <c r="P598" s="78"/>
    </row>
    <row r="599" spans="2:16" s="73" customFormat="1" x14ac:dyDescent="0.25">
      <c r="B599" s="107" t="s">
        <v>1145</v>
      </c>
      <c r="C599" s="216" t="s">
        <v>1197</v>
      </c>
      <c r="D599" s="72">
        <f>SUM(E599:I599)+SUM(K599:M599)</f>
        <v>0</v>
      </c>
      <c r="E599" s="134"/>
      <c r="F599" s="134"/>
      <c r="G599" s="134"/>
      <c r="H599" s="134"/>
      <c r="I599" s="134"/>
      <c r="J599" s="134"/>
      <c r="K599" s="134"/>
      <c r="L599" s="134"/>
      <c r="M599" s="134"/>
      <c r="N599" s="27"/>
      <c r="O599" s="76"/>
      <c r="P599" s="78"/>
    </row>
    <row r="600" spans="2:16" s="73" customFormat="1" x14ac:dyDescent="0.25">
      <c r="B600" s="107" t="s">
        <v>1146</v>
      </c>
      <c r="C600" s="216" t="s">
        <v>1198</v>
      </c>
      <c r="D600" s="72">
        <f>SUM(E600:I600)+SUM(K600:M600)</f>
        <v>0</v>
      </c>
      <c r="E600" s="134"/>
      <c r="F600" s="134"/>
      <c r="G600" s="134"/>
      <c r="H600" s="134"/>
      <c r="I600" s="134"/>
      <c r="J600" s="134"/>
      <c r="K600" s="134"/>
      <c r="L600" s="134"/>
      <c r="M600" s="134"/>
      <c r="N600" s="27"/>
      <c r="O600" s="76"/>
      <c r="P600" s="78"/>
    </row>
    <row r="601" spans="2:16" s="73" customFormat="1" ht="45" x14ac:dyDescent="0.25">
      <c r="B601" s="107" t="s">
        <v>1147</v>
      </c>
      <c r="C601" s="216" t="s">
        <v>1201</v>
      </c>
      <c r="D601" s="72">
        <f t="shared" si="166"/>
        <v>0</v>
      </c>
      <c r="E601" s="134"/>
      <c r="F601" s="134"/>
      <c r="G601" s="134"/>
      <c r="H601" s="134"/>
      <c r="I601" s="134"/>
      <c r="J601" s="134"/>
      <c r="K601" s="134"/>
      <c r="L601" s="134"/>
      <c r="M601" s="134"/>
      <c r="N601" s="27"/>
      <c r="O601" s="76"/>
      <c r="P601" s="78"/>
    </row>
    <row r="602" spans="2:16" s="73" customFormat="1" ht="45" x14ac:dyDescent="0.25">
      <c r="B602" s="107" t="s">
        <v>1148</v>
      </c>
      <c r="C602" s="216" t="s">
        <v>1202</v>
      </c>
      <c r="D602" s="72">
        <f t="shared" si="166"/>
        <v>0</v>
      </c>
      <c r="E602" s="134"/>
      <c r="F602" s="134"/>
      <c r="G602" s="134"/>
      <c r="H602" s="134"/>
      <c r="I602" s="134"/>
      <c r="J602" s="134"/>
      <c r="K602" s="134"/>
      <c r="L602" s="134"/>
      <c r="M602" s="134"/>
      <c r="N602" s="27"/>
      <c r="O602" s="76"/>
      <c r="P602" s="78"/>
    </row>
    <row r="603" spans="2:16" s="73" customFormat="1" x14ac:dyDescent="0.25">
      <c r="B603" s="107" t="s">
        <v>1149</v>
      </c>
      <c r="C603" s="216" t="s">
        <v>1097</v>
      </c>
      <c r="D603" s="72">
        <f t="shared" si="166"/>
        <v>0</v>
      </c>
      <c r="E603" s="134"/>
      <c r="F603" s="134"/>
      <c r="G603" s="134"/>
      <c r="H603" s="134"/>
      <c r="I603" s="134"/>
      <c r="J603" s="134"/>
      <c r="K603" s="134"/>
      <c r="L603" s="134"/>
      <c r="M603" s="134"/>
      <c r="N603" s="27"/>
      <c r="O603" s="76"/>
      <c r="P603" s="78"/>
    </row>
    <row r="604" spans="2:16" s="73" customFormat="1" x14ac:dyDescent="0.25">
      <c r="B604" s="107" t="s">
        <v>1154</v>
      </c>
      <c r="C604" s="216" t="s">
        <v>1098</v>
      </c>
      <c r="D604" s="72">
        <f t="shared" si="166"/>
        <v>0</v>
      </c>
      <c r="E604" s="134"/>
      <c r="F604" s="134"/>
      <c r="G604" s="134"/>
      <c r="H604" s="134"/>
      <c r="I604" s="134"/>
      <c r="J604" s="134"/>
      <c r="K604" s="134"/>
      <c r="L604" s="134"/>
      <c r="M604" s="134"/>
      <c r="N604" s="27"/>
      <c r="O604" s="76"/>
      <c r="P604" s="78"/>
    </row>
    <row r="605" spans="2:16" s="73" customFormat="1" x14ac:dyDescent="0.25">
      <c r="B605" s="107" t="s">
        <v>1203</v>
      </c>
      <c r="C605" s="216" t="s">
        <v>1103</v>
      </c>
      <c r="D605" s="72">
        <f t="shared" si="166"/>
        <v>0</v>
      </c>
      <c r="E605" s="134"/>
      <c r="F605" s="134"/>
      <c r="G605" s="134"/>
      <c r="H605" s="134"/>
      <c r="I605" s="134"/>
      <c r="J605" s="134"/>
      <c r="K605" s="134"/>
      <c r="L605" s="134"/>
      <c r="M605" s="134"/>
      <c r="N605" s="27"/>
      <c r="O605" s="76"/>
      <c r="P605" s="78"/>
    </row>
    <row r="606" spans="2:16" s="73" customFormat="1" x14ac:dyDescent="0.25">
      <c r="B606" s="107" t="s">
        <v>1204</v>
      </c>
      <c r="C606" s="216" t="s">
        <v>1152</v>
      </c>
      <c r="D606" s="72">
        <f>SUM(E606:I606)+SUM(K606:M606)</f>
        <v>0</v>
      </c>
      <c r="E606" s="153">
        <f t="shared" ref="E606:M606" si="167">E597-E598-E601-E602-E603-E604-E605</f>
        <v>0</v>
      </c>
      <c r="F606" s="153">
        <f t="shared" si="167"/>
        <v>0</v>
      </c>
      <c r="G606" s="153">
        <f t="shared" si="167"/>
        <v>0</v>
      </c>
      <c r="H606" s="153">
        <f t="shared" si="167"/>
        <v>0</v>
      </c>
      <c r="I606" s="153">
        <f t="shared" si="167"/>
        <v>0</v>
      </c>
      <c r="J606" s="153">
        <f t="shared" si="167"/>
        <v>0</v>
      </c>
      <c r="K606" s="153">
        <f t="shared" si="167"/>
        <v>0</v>
      </c>
      <c r="L606" s="153">
        <f t="shared" si="167"/>
        <v>0</v>
      </c>
      <c r="M606" s="153">
        <f t="shared" si="167"/>
        <v>0</v>
      </c>
      <c r="N606" s="27"/>
      <c r="O606" s="76"/>
      <c r="P606" s="78"/>
    </row>
    <row r="607" spans="2:16" s="73" customFormat="1" ht="45" x14ac:dyDescent="0.25">
      <c r="B607" s="120" t="s">
        <v>1228</v>
      </c>
      <c r="C607" s="216" t="s">
        <v>1143</v>
      </c>
      <c r="D607" s="72">
        <f t="shared" ref="D607:D617" si="168">SUM(E607:I607)+SUM(K607:M607)</f>
        <v>0</v>
      </c>
      <c r="E607" s="52"/>
      <c r="F607" s="52"/>
      <c r="G607" s="52"/>
      <c r="H607" s="52"/>
      <c r="I607" s="52"/>
      <c r="J607" s="136"/>
      <c r="K607" s="136"/>
      <c r="L607" s="136"/>
      <c r="M607" s="136"/>
      <c r="N607" s="37"/>
      <c r="O607" s="76"/>
      <c r="P607" s="78"/>
    </row>
    <row r="608" spans="2:16" s="73" customFormat="1" x14ac:dyDescent="0.25">
      <c r="B608" s="120" t="s">
        <v>1229</v>
      </c>
      <c r="C608" s="216" t="s">
        <v>1096</v>
      </c>
      <c r="D608" s="72">
        <f t="shared" ref="D608:D615" si="169">SUM(E608:I608)+SUM(K608:M608)</f>
        <v>0</v>
      </c>
      <c r="E608" s="52"/>
      <c r="F608" s="52"/>
      <c r="G608" s="52"/>
      <c r="H608" s="52"/>
      <c r="I608" s="52"/>
      <c r="J608" s="136"/>
      <c r="K608" s="136"/>
      <c r="L608" s="136"/>
      <c r="M608" s="136"/>
      <c r="N608" s="27"/>
      <c r="O608" s="76"/>
      <c r="P608" s="78"/>
    </row>
    <row r="609" spans="2:16" s="73" customFormat="1" x14ac:dyDescent="0.25">
      <c r="B609" s="107" t="s">
        <v>1230</v>
      </c>
      <c r="C609" s="216" t="s">
        <v>1197</v>
      </c>
      <c r="D609" s="72">
        <f>SUM(E609:I609)+SUM(K609:M609)</f>
        <v>0</v>
      </c>
      <c r="E609" s="134"/>
      <c r="F609" s="134"/>
      <c r="G609" s="134"/>
      <c r="H609" s="134"/>
      <c r="I609" s="134"/>
      <c r="J609" s="134"/>
      <c r="K609" s="134"/>
      <c r="L609" s="134"/>
      <c r="M609" s="134"/>
      <c r="N609" s="27"/>
      <c r="O609" s="76"/>
      <c r="P609" s="78"/>
    </row>
    <row r="610" spans="2:16" s="73" customFormat="1" x14ac:dyDescent="0.25">
      <c r="B610" s="107" t="s">
        <v>1231</v>
      </c>
      <c r="C610" s="216" t="s">
        <v>1198</v>
      </c>
      <c r="D610" s="72">
        <f>SUM(E610:I610)+SUM(K610:M610)</f>
        <v>0</v>
      </c>
      <c r="E610" s="134"/>
      <c r="F610" s="134"/>
      <c r="G610" s="134"/>
      <c r="H610" s="134"/>
      <c r="I610" s="134"/>
      <c r="J610" s="134"/>
      <c r="K610" s="134"/>
      <c r="L610" s="134"/>
      <c r="M610" s="134"/>
      <c r="N610" s="27"/>
      <c r="O610" s="76"/>
      <c r="P610" s="78"/>
    </row>
    <row r="611" spans="2:16" s="73" customFormat="1" ht="45" x14ac:dyDescent="0.25">
      <c r="B611" s="120" t="s">
        <v>1232</v>
      </c>
      <c r="C611" s="216" t="s">
        <v>1201</v>
      </c>
      <c r="D611" s="72">
        <f t="shared" si="169"/>
        <v>0</v>
      </c>
      <c r="E611" s="52"/>
      <c r="F611" s="52"/>
      <c r="G611" s="52"/>
      <c r="H611" s="52"/>
      <c r="I611" s="52"/>
      <c r="J611" s="136"/>
      <c r="K611" s="136"/>
      <c r="L611" s="136"/>
      <c r="M611" s="136"/>
      <c r="N611" s="27"/>
      <c r="O611" s="76"/>
      <c r="P611" s="78"/>
    </row>
    <row r="612" spans="2:16" s="73" customFormat="1" ht="45" x14ac:dyDescent="0.25">
      <c r="B612" s="120" t="s">
        <v>1233</v>
      </c>
      <c r="C612" s="216" t="s">
        <v>1202</v>
      </c>
      <c r="D612" s="72">
        <f t="shared" si="169"/>
        <v>0</v>
      </c>
      <c r="E612" s="52"/>
      <c r="F612" s="52"/>
      <c r="G612" s="52"/>
      <c r="H612" s="52"/>
      <c r="I612" s="52"/>
      <c r="J612" s="136"/>
      <c r="K612" s="136"/>
      <c r="L612" s="136"/>
      <c r="M612" s="136"/>
      <c r="N612" s="27"/>
      <c r="O612" s="76"/>
      <c r="P612" s="78"/>
    </row>
    <row r="613" spans="2:16" s="73" customFormat="1" x14ac:dyDescent="0.25">
      <c r="B613" s="120" t="s">
        <v>1234</v>
      </c>
      <c r="C613" s="216" t="s">
        <v>1097</v>
      </c>
      <c r="D613" s="72">
        <f t="shared" si="169"/>
        <v>0</v>
      </c>
      <c r="E613" s="52"/>
      <c r="F613" s="52"/>
      <c r="G613" s="52"/>
      <c r="H613" s="52"/>
      <c r="I613" s="52"/>
      <c r="J613" s="136"/>
      <c r="K613" s="136"/>
      <c r="L613" s="136"/>
      <c r="M613" s="136"/>
      <c r="N613" s="27"/>
      <c r="O613" s="76"/>
      <c r="P613" s="78"/>
    </row>
    <row r="614" spans="2:16" s="73" customFormat="1" x14ac:dyDescent="0.25">
      <c r="B614" s="120" t="s">
        <v>1235</v>
      </c>
      <c r="C614" s="216" t="s">
        <v>1098</v>
      </c>
      <c r="D614" s="72">
        <f t="shared" si="169"/>
        <v>0</v>
      </c>
      <c r="E614" s="52"/>
      <c r="F614" s="52"/>
      <c r="G614" s="52"/>
      <c r="H614" s="52"/>
      <c r="I614" s="52"/>
      <c r="J614" s="136"/>
      <c r="K614" s="136"/>
      <c r="L614" s="136"/>
      <c r="M614" s="136"/>
      <c r="N614" s="27"/>
      <c r="O614" s="76"/>
      <c r="P614" s="78"/>
    </row>
    <row r="615" spans="2:16" s="73" customFormat="1" x14ac:dyDescent="0.25">
      <c r="B615" s="120" t="s">
        <v>1236</v>
      </c>
      <c r="C615" s="216" t="s">
        <v>1103</v>
      </c>
      <c r="D615" s="72">
        <f t="shared" si="169"/>
        <v>0</v>
      </c>
      <c r="E615" s="52"/>
      <c r="F615" s="52"/>
      <c r="G615" s="52"/>
      <c r="H615" s="52"/>
      <c r="I615" s="52"/>
      <c r="J615" s="136"/>
      <c r="K615" s="136"/>
      <c r="L615" s="136"/>
      <c r="M615" s="136"/>
      <c r="N615" s="27"/>
      <c r="O615" s="76"/>
      <c r="P615" s="78"/>
    </row>
    <row r="616" spans="2:16" s="73" customFormat="1" x14ac:dyDescent="0.25">
      <c r="B616" s="120" t="s">
        <v>1237</v>
      </c>
      <c r="C616" s="216" t="s">
        <v>1152</v>
      </c>
      <c r="D616" s="72">
        <f>SUM(E616:I616)+SUM(K616:M616)</f>
        <v>0</v>
      </c>
      <c r="E616" s="185">
        <f t="shared" ref="E616:M616" si="170">E607-E608-E611-E612-E613-E614-E615</f>
        <v>0</v>
      </c>
      <c r="F616" s="185">
        <f t="shared" si="170"/>
        <v>0</v>
      </c>
      <c r="G616" s="185">
        <f t="shared" si="170"/>
        <v>0</v>
      </c>
      <c r="H616" s="185">
        <f t="shared" si="170"/>
        <v>0</v>
      </c>
      <c r="I616" s="185">
        <f t="shared" si="170"/>
        <v>0</v>
      </c>
      <c r="J616" s="153">
        <f t="shared" si="170"/>
        <v>0</v>
      </c>
      <c r="K616" s="153">
        <f t="shared" si="170"/>
        <v>0</v>
      </c>
      <c r="L616" s="153">
        <f t="shared" si="170"/>
        <v>0</v>
      </c>
      <c r="M616" s="153">
        <f t="shared" si="170"/>
        <v>0</v>
      </c>
      <c r="N616" s="27"/>
      <c r="O616" s="76"/>
      <c r="P616" s="78"/>
    </row>
    <row r="617" spans="2:16" s="73" customFormat="1" ht="60" x14ac:dyDescent="0.25">
      <c r="B617" s="107" t="s">
        <v>1238</v>
      </c>
      <c r="C617" s="216" t="s">
        <v>984</v>
      </c>
      <c r="D617" s="72">
        <f t="shared" si="168"/>
        <v>0</v>
      </c>
      <c r="E617" s="52"/>
      <c r="F617" s="52"/>
      <c r="G617" s="52"/>
      <c r="H617" s="52"/>
      <c r="I617" s="52"/>
      <c r="J617" s="136"/>
      <c r="K617" s="136"/>
      <c r="L617" s="136"/>
      <c r="M617" s="136"/>
      <c r="N617" s="37"/>
      <c r="O617" s="76"/>
      <c r="P617" s="78"/>
    </row>
    <row r="618" spans="2:16" s="73" customFormat="1" x14ac:dyDescent="0.25">
      <c r="B618" s="107" t="s">
        <v>1239</v>
      </c>
      <c r="C618" s="216" t="s">
        <v>1096</v>
      </c>
      <c r="D618" s="72">
        <f t="shared" ref="D618:D625" si="171">SUM(E618:I618)+SUM(K618:M618)</f>
        <v>0</v>
      </c>
      <c r="E618" s="52"/>
      <c r="F618" s="52"/>
      <c r="G618" s="52"/>
      <c r="H618" s="52"/>
      <c r="I618" s="52"/>
      <c r="J618" s="136"/>
      <c r="K618" s="136"/>
      <c r="L618" s="136"/>
      <c r="M618" s="136"/>
      <c r="N618" s="27"/>
      <c r="O618" s="183"/>
      <c r="P618" s="78"/>
    </row>
    <row r="619" spans="2:16" s="73" customFormat="1" x14ac:dyDescent="0.25">
      <c r="B619" s="107" t="s">
        <v>1240</v>
      </c>
      <c r="C619" s="216" t="s">
        <v>1197</v>
      </c>
      <c r="D619" s="72">
        <f>SUM(E619:I619)+SUM(K619:M619)</f>
        <v>0</v>
      </c>
      <c r="E619" s="134"/>
      <c r="F619" s="134"/>
      <c r="G619" s="134"/>
      <c r="H619" s="134"/>
      <c r="I619" s="134"/>
      <c r="J619" s="134"/>
      <c r="K619" s="134"/>
      <c r="L619" s="134"/>
      <c r="M619" s="134"/>
      <c r="N619" s="27"/>
      <c r="O619" s="76"/>
      <c r="P619" s="78"/>
    </row>
    <row r="620" spans="2:16" s="73" customFormat="1" x14ac:dyDescent="0.25">
      <c r="B620" s="107" t="s">
        <v>1241</v>
      </c>
      <c r="C620" s="216" t="s">
        <v>1198</v>
      </c>
      <c r="D620" s="72">
        <f>SUM(E620:I620)+SUM(K620:M620)</f>
        <v>0</v>
      </c>
      <c r="E620" s="134"/>
      <c r="F620" s="134"/>
      <c r="G620" s="134"/>
      <c r="H620" s="134"/>
      <c r="I620" s="134"/>
      <c r="J620" s="134"/>
      <c r="K620" s="134"/>
      <c r="L620" s="134"/>
      <c r="M620" s="134"/>
      <c r="N620" s="27"/>
      <c r="O620" s="76"/>
      <c r="P620" s="78"/>
    </row>
    <row r="621" spans="2:16" s="73" customFormat="1" ht="45" x14ac:dyDescent="0.25">
      <c r="B621" s="107" t="s">
        <v>1242</v>
      </c>
      <c r="C621" s="216" t="s">
        <v>1201</v>
      </c>
      <c r="D621" s="72">
        <f t="shared" si="171"/>
        <v>0</v>
      </c>
      <c r="E621" s="52"/>
      <c r="F621" s="52"/>
      <c r="G621" s="52"/>
      <c r="H621" s="52"/>
      <c r="I621" s="52"/>
      <c r="J621" s="136"/>
      <c r="K621" s="136"/>
      <c r="L621" s="136"/>
      <c r="M621" s="136"/>
      <c r="N621" s="27"/>
      <c r="O621" s="183"/>
      <c r="P621" s="78"/>
    </row>
    <row r="622" spans="2:16" s="73" customFormat="1" ht="45" x14ac:dyDescent="0.25">
      <c r="B622" s="107" t="s">
        <v>1243</v>
      </c>
      <c r="C622" s="216" t="s">
        <v>1202</v>
      </c>
      <c r="D622" s="72">
        <f t="shared" si="171"/>
        <v>0</v>
      </c>
      <c r="E622" s="52"/>
      <c r="F622" s="52"/>
      <c r="G622" s="52"/>
      <c r="H622" s="52"/>
      <c r="I622" s="52"/>
      <c r="J622" s="136"/>
      <c r="K622" s="136"/>
      <c r="L622" s="136"/>
      <c r="M622" s="136"/>
      <c r="N622" s="27"/>
      <c r="O622" s="183"/>
      <c r="P622" s="78"/>
    </row>
    <row r="623" spans="2:16" s="73" customFormat="1" x14ac:dyDescent="0.25">
      <c r="B623" s="107" t="s">
        <v>1244</v>
      </c>
      <c r="C623" s="216" t="s">
        <v>1097</v>
      </c>
      <c r="D623" s="72">
        <f t="shared" si="171"/>
        <v>0</v>
      </c>
      <c r="E623" s="52"/>
      <c r="F623" s="52"/>
      <c r="G623" s="52"/>
      <c r="H623" s="52"/>
      <c r="I623" s="52"/>
      <c r="J623" s="136"/>
      <c r="K623" s="136"/>
      <c r="L623" s="136"/>
      <c r="M623" s="136"/>
      <c r="N623" s="27"/>
      <c r="O623" s="183"/>
      <c r="P623" s="78"/>
    </row>
    <row r="624" spans="2:16" s="73" customFormat="1" x14ac:dyDescent="0.25">
      <c r="B624" s="107" t="s">
        <v>1245</v>
      </c>
      <c r="C624" s="216" t="s">
        <v>1098</v>
      </c>
      <c r="D624" s="72">
        <f t="shared" si="171"/>
        <v>0</v>
      </c>
      <c r="E624" s="52"/>
      <c r="F624" s="52"/>
      <c r="G624" s="52"/>
      <c r="H624" s="52"/>
      <c r="I624" s="52"/>
      <c r="J624" s="136"/>
      <c r="K624" s="136"/>
      <c r="L624" s="136"/>
      <c r="M624" s="136"/>
      <c r="N624" s="27"/>
      <c r="O624" s="183"/>
      <c r="P624" s="78"/>
    </row>
    <row r="625" spans="2:16" s="73" customFormat="1" x14ac:dyDescent="0.25">
      <c r="B625" s="107" t="s">
        <v>1246</v>
      </c>
      <c r="C625" s="216" t="s">
        <v>1103</v>
      </c>
      <c r="D625" s="72">
        <f t="shared" si="171"/>
        <v>0</v>
      </c>
      <c r="E625" s="52"/>
      <c r="F625" s="52"/>
      <c r="G625" s="52"/>
      <c r="H625" s="52"/>
      <c r="I625" s="52"/>
      <c r="J625" s="136"/>
      <c r="K625" s="136"/>
      <c r="L625" s="136"/>
      <c r="M625" s="136"/>
      <c r="N625" s="27"/>
      <c r="O625" s="183"/>
      <c r="P625" s="78"/>
    </row>
    <row r="626" spans="2:16" s="73" customFormat="1" x14ac:dyDescent="0.25">
      <c r="B626" s="107" t="s">
        <v>1247</v>
      </c>
      <c r="C626" s="216" t="s">
        <v>1152</v>
      </c>
      <c r="D626" s="72">
        <f>SUM(E626:I626)+SUM(K626:M626)</f>
        <v>0</v>
      </c>
      <c r="E626" s="185">
        <f t="shared" ref="E626:M626" si="172">E617-E618-E621-E622-E623-E624-E625</f>
        <v>0</v>
      </c>
      <c r="F626" s="185">
        <f t="shared" si="172"/>
        <v>0</v>
      </c>
      <c r="G626" s="185">
        <f t="shared" si="172"/>
        <v>0</v>
      </c>
      <c r="H626" s="185">
        <f t="shared" si="172"/>
        <v>0</v>
      </c>
      <c r="I626" s="185">
        <f t="shared" si="172"/>
        <v>0</v>
      </c>
      <c r="J626" s="153">
        <f t="shared" si="172"/>
        <v>0</v>
      </c>
      <c r="K626" s="153">
        <f t="shared" si="172"/>
        <v>0</v>
      </c>
      <c r="L626" s="153">
        <f t="shared" si="172"/>
        <v>0</v>
      </c>
      <c r="M626" s="153">
        <f t="shared" si="172"/>
        <v>0</v>
      </c>
      <c r="N626" s="27"/>
      <c r="O626" s="76"/>
      <c r="P626" s="78"/>
    </row>
    <row r="627" spans="2:16" s="73" customFormat="1" ht="60" x14ac:dyDescent="0.25">
      <c r="B627" s="107" t="s">
        <v>1248</v>
      </c>
      <c r="C627" s="216" t="s">
        <v>1208</v>
      </c>
      <c r="D627" s="72">
        <f t="shared" ref="D627" si="173">SUM(E627:I627)+SUM(K627:M627)</f>
        <v>0</v>
      </c>
      <c r="E627" s="134"/>
      <c r="F627" s="134"/>
      <c r="G627" s="134"/>
      <c r="H627" s="134"/>
      <c r="I627" s="134"/>
      <c r="J627" s="134"/>
      <c r="K627" s="134"/>
      <c r="L627" s="134"/>
      <c r="M627" s="134"/>
      <c r="N627" s="37"/>
      <c r="O627" s="76"/>
      <c r="P627" s="78"/>
    </row>
    <row r="628" spans="2:16" s="73" customFormat="1" x14ac:dyDescent="0.25">
      <c r="B628" s="107" t="s">
        <v>1249</v>
      </c>
      <c r="C628" s="216" t="s">
        <v>1096</v>
      </c>
      <c r="D628" s="72">
        <f t="shared" ref="D628" si="174">SUM(E628:I628)+SUM(K628:M628)</f>
        <v>0</v>
      </c>
      <c r="E628" s="134"/>
      <c r="F628" s="134"/>
      <c r="G628" s="134"/>
      <c r="H628" s="134"/>
      <c r="I628" s="134"/>
      <c r="J628" s="134"/>
      <c r="K628" s="134"/>
      <c r="L628" s="134"/>
      <c r="M628" s="134"/>
      <c r="N628" s="27"/>
      <c r="O628" s="76"/>
      <c r="P628" s="78"/>
    </row>
    <row r="629" spans="2:16" s="73" customFormat="1" x14ac:dyDescent="0.25">
      <c r="B629" s="107" t="s">
        <v>1250</v>
      </c>
      <c r="C629" s="216" t="s">
        <v>1197</v>
      </c>
      <c r="D629" s="72">
        <f>SUM(E629:I629)+SUM(K629:M629)</f>
        <v>0</v>
      </c>
      <c r="E629" s="134"/>
      <c r="F629" s="134"/>
      <c r="G629" s="134"/>
      <c r="H629" s="134"/>
      <c r="I629" s="134"/>
      <c r="J629" s="134"/>
      <c r="K629" s="134"/>
      <c r="L629" s="134"/>
      <c r="M629" s="134"/>
      <c r="N629" s="27"/>
      <c r="O629" s="76"/>
      <c r="P629" s="78"/>
    </row>
    <row r="630" spans="2:16" s="73" customFormat="1" x14ac:dyDescent="0.25">
      <c r="B630" s="107" t="s">
        <v>1251</v>
      </c>
      <c r="C630" s="216" t="s">
        <v>1198</v>
      </c>
      <c r="D630" s="72">
        <f>SUM(E630:I630)+SUM(K630:M630)</f>
        <v>0</v>
      </c>
      <c r="E630" s="134"/>
      <c r="F630" s="134"/>
      <c r="G630" s="134"/>
      <c r="H630" s="134"/>
      <c r="I630" s="134"/>
      <c r="J630" s="134"/>
      <c r="K630" s="134"/>
      <c r="L630" s="134"/>
      <c r="M630" s="134"/>
      <c r="N630" s="27"/>
      <c r="O630" s="76"/>
      <c r="P630" s="78"/>
    </row>
    <row r="631" spans="2:16" s="73" customFormat="1" ht="45" x14ac:dyDescent="0.25">
      <c r="B631" s="107" t="s">
        <v>1252</v>
      </c>
      <c r="C631" s="216" t="s">
        <v>1201</v>
      </c>
      <c r="D631" s="72">
        <f t="shared" ref="D631:D635" si="175">SUM(E631:I631)+SUM(K631:M631)</f>
        <v>0</v>
      </c>
      <c r="E631" s="134"/>
      <c r="F631" s="134"/>
      <c r="G631" s="134"/>
      <c r="H631" s="134"/>
      <c r="I631" s="134"/>
      <c r="J631" s="134"/>
      <c r="K631" s="134"/>
      <c r="L631" s="134"/>
      <c r="M631" s="134"/>
      <c r="N631" s="27"/>
      <c r="O631" s="76"/>
      <c r="P631" s="78"/>
    </row>
    <row r="632" spans="2:16" s="73" customFormat="1" ht="45" x14ac:dyDescent="0.25">
      <c r="B632" s="107" t="s">
        <v>1253</v>
      </c>
      <c r="C632" s="216" t="s">
        <v>1202</v>
      </c>
      <c r="D632" s="72">
        <f t="shared" si="175"/>
        <v>0</v>
      </c>
      <c r="E632" s="134"/>
      <c r="F632" s="134"/>
      <c r="G632" s="134"/>
      <c r="H632" s="134"/>
      <c r="I632" s="134"/>
      <c r="J632" s="134"/>
      <c r="K632" s="134"/>
      <c r="L632" s="134"/>
      <c r="M632" s="134"/>
      <c r="N632" s="27"/>
      <c r="O632" s="76"/>
      <c r="P632" s="78"/>
    </row>
    <row r="633" spans="2:16" s="73" customFormat="1" x14ac:dyDescent="0.25">
      <c r="B633" s="107" t="s">
        <v>1254</v>
      </c>
      <c r="C633" s="216" t="s">
        <v>1097</v>
      </c>
      <c r="D633" s="72">
        <f t="shared" si="175"/>
        <v>0</v>
      </c>
      <c r="E633" s="134"/>
      <c r="F633" s="134"/>
      <c r="G633" s="134"/>
      <c r="H633" s="134"/>
      <c r="I633" s="134"/>
      <c r="J633" s="134"/>
      <c r="K633" s="134"/>
      <c r="L633" s="134"/>
      <c r="M633" s="134"/>
      <c r="N633" s="27"/>
      <c r="O633" s="76"/>
      <c r="P633" s="78"/>
    </row>
    <row r="634" spans="2:16" s="73" customFormat="1" x14ac:dyDescent="0.25">
      <c r="B634" s="107" t="s">
        <v>1255</v>
      </c>
      <c r="C634" s="216" t="s">
        <v>1098</v>
      </c>
      <c r="D634" s="72">
        <f t="shared" si="175"/>
        <v>0</v>
      </c>
      <c r="E634" s="134"/>
      <c r="F634" s="134"/>
      <c r="G634" s="134"/>
      <c r="H634" s="134"/>
      <c r="I634" s="134"/>
      <c r="J634" s="134"/>
      <c r="K634" s="134"/>
      <c r="L634" s="134"/>
      <c r="M634" s="134"/>
      <c r="N634" s="27"/>
      <c r="O634" s="76"/>
      <c r="P634" s="78"/>
    </row>
    <row r="635" spans="2:16" s="73" customFormat="1" x14ac:dyDescent="0.25">
      <c r="B635" s="107" t="s">
        <v>1256</v>
      </c>
      <c r="C635" s="216" t="s">
        <v>1103</v>
      </c>
      <c r="D635" s="72">
        <f t="shared" si="175"/>
        <v>0</v>
      </c>
      <c r="E635" s="134"/>
      <c r="F635" s="134"/>
      <c r="G635" s="134"/>
      <c r="H635" s="134"/>
      <c r="I635" s="134"/>
      <c r="J635" s="134"/>
      <c r="K635" s="134"/>
      <c r="L635" s="134"/>
      <c r="M635" s="134"/>
      <c r="N635" s="27"/>
      <c r="O635" s="76"/>
      <c r="P635" s="78"/>
    </row>
    <row r="636" spans="2:16" s="73" customFormat="1" x14ac:dyDescent="0.25">
      <c r="B636" s="107" t="s">
        <v>1257</v>
      </c>
      <c r="C636" s="216" t="s">
        <v>1152</v>
      </c>
      <c r="D636" s="72">
        <f>SUM(E636:I636)+SUM(K636:M636)</f>
        <v>0</v>
      </c>
      <c r="E636" s="153">
        <f t="shared" ref="E636:M636" si="176">E627-E628-E631-E632-E633-E634-E635</f>
        <v>0</v>
      </c>
      <c r="F636" s="153">
        <f t="shared" si="176"/>
        <v>0</v>
      </c>
      <c r="G636" s="153">
        <f t="shared" si="176"/>
        <v>0</v>
      </c>
      <c r="H636" s="153">
        <f t="shared" si="176"/>
        <v>0</v>
      </c>
      <c r="I636" s="153">
        <f t="shared" si="176"/>
        <v>0</v>
      </c>
      <c r="J636" s="153">
        <f t="shared" si="176"/>
        <v>0</v>
      </c>
      <c r="K636" s="153">
        <f t="shared" si="176"/>
        <v>0</v>
      </c>
      <c r="L636" s="153">
        <f t="shared" si="176"/>
        <v>0</v>
      </c>
      <c r="M636" s="153">
        <f t="shared" si="176"/>
        <v>0</v>
      </c>
      <c r="N636" s="27"/>
      <c r="O636" s="76"/>
      <c r="P636" s="78"/>
    </row>
    <row r="637" spans="2:16" s="73" customFormat="1" ht="60" x14ac:dyDescent="0.25">
      <c r="B637" s="107" t="s">
        <v>1258</v>
      </c>
      <c r="C637" s="216" t="s">
        <v>1209</v>
      </c>
      <c r="D637" s="72">
        <f t="shared" ref="D637:D638" si="177">SUM(E637:I637)+SUM(K637:M637)</f>
        <v>0</v>
      </c>
      <c r="E637" s="52"/>
      <c r="F637" s="52"/>
      <c r="G637" s="52"/>
      <c r="H637" s="52"/>
      <c r="I637" s="52"/>
      <c r="J637" s="136"/>
      <c r="K637" s="136"/>
      <c r="L637" s="136"/>
      <c r="M637" s="136"/>
      <c r="N637" s="37"/>
      <c r="O637" s="76"/>
      <c r="P637" s="78"/>
    </row>
    <row r="638" spans="2:16" s="73" customFormat="1" x14ac:dyDescent="0.25">
      <c r="B638" s="107" t="s">
        <v>1259</v>
      </c>
      <c r="C638" s="216" t="s">
        <v>1096</v>
      </c>
      <c r="D638" s="72">
        <f t="shared" si="177"/>
        <v>0</v>
      </c>
      <c r="E638" s="52"/>
      <c r="F638" s="52"/>
      <c r="G638" s="52"/>
      <c r="H638" s="52"/>
      <c r="I638" s="52"/>
      <c r="J638" s="136"/>
      <c r="K638" s="136"/>
      <c r="L638" s="136"/>
      <c r="M638" s="136"/>
      <c r="N638" s="27"/>
      <c r="O638" s="183"/>
      <c r="P638" s="78"/>
    </row>
    <row r="639" spans="2:16" s="73" customFormat="1" x14ac:dyDescent="0.25">
      <c r="B639" s="107" t="s">
        <v>1260</v>
      </c>
      <c r="C639" s="216" t="s">
        <v>1197</v>
      </c>
      <c r="D639" s="72">
        <f>SUM(E639:I639)+SUM(K639:M639)</f>
        <v>0</v>
      </c>
      <c r="E639" s="134"/>
      <c r="F639" s="134"/>
      <c r="G639" s="134"/>
      <c r="H639" s="134"/>
      <c r="I639" s="134"/>
      <c r="J639" s="134"/>
      <c r="K639" s="134"/>
      <c r="L639" s="134"/>
      <c r="M639" s="134"/>
      <c r="N639" s="27"/>
      <c r="O639" s="76"/>
      <c r="P639" s="78"/>
    </row>
    <row r="640" spans="2:16" s="73" customFormat="1" x14ac:dyDescent="0.25">
      <c r="B640" s="107" t="s">
        <v>1261</v>
      </c>
      <c r="C640" s="216" t="s">
        <v>1198</v>
      </c>
      <c r="D640" s="72">
        <f>SUM(E640:I640)+SUM(K640:M640)</f>
        <v>0</v>
      </c>
      <c r="E640" s="134"/>
      <c r="F640" s="134"/>
      <c r="G640" s="134"/>
      <c r="H640" s="134"/>
      <c r="I640" s="134"/>
      <c r="J640" s="134"/>
      <c r="K640" s="134"/>
      <c r="L640" s="134"/>
      <c r="M640" s="134"/>
      <c r="N640" s="27"/>
      <c r="O640" s="76"/>
      <c r="P640" s="78"/>
    </row>
    <row r="641" spans="2:16" s="73" customFormat="1" ht="45" x14ac:dyDescent="0.25">
      <c r="B641" s="107" t="s">
        <v>1262</v>
      </c>
      <c r="C641" s="216" t="s">
        <v>1201</v>
      </c>
      <c r="D641" s="72">
        <f t="shared" ref="D641:D645" si="178">SUM(E641:I641)+SUM(K641:M641)</f>
        <v>0</v>
      </c>
      <c r="E641" s="52"/>
      <c r="F641" s="52"/>
      <c r="G641" s="52"/>
      <c r="H641" s="52"/>
      <c r="I641" s="52"/>
      <c r="J641" s="136"/>
      <c r="K641" s="136"/>
      <c r="L641" s="136"/>
      <c r="M641" s="136"/>
      <c r="N641" s="27"/>
      <c r="O641" s="183"/>
      <c r="P641" s="78"/>
    </row>
    <row r="642" spans="2:16" s="73" customFormat="1" ht="45" x14ac:dyDescent="0.25">
      <c r="B642" s="107" t="s">
        <v>1263</v>
      </c>
      <c r="C642" s="216" t="s">
        <v>1202</v>
      </c>
      <c r="D642" s="72">
        <f t="shared" si="178"/>
        <v>0</v>
      </c>
      <c r="E642" s="52"/>
      <c r="F642" s="52"/>
      <c r="G642" s="52"/>
      <c r="H642" s="52"/>
      <c r="I642" s="52"/>
      <c r="J642" s="136"/>
      <c r="K642" s="136"/>
      <c r="L642" s="136"/>
      <c r="M642" s="136"/>
      <c r="N642" s="27"/>
      <c r="O642" s="183"/>
      <c r="P642" s="78"/>
    </row>
    <row r="643" spans="2:16" s="73" customFormat="1" x14ac:dyDescent="0.25">
      <c r="B643" s="107" t="s">
        <v>1264</v>
      </c>
      <c r="C643" s="216" t="s">
        <v>1097</v>
      </c>
      <c r="D643" s="72">
        <f t="shared" si="178"/>
        <v>0</v>
      </c>
      <c r="E643" s="52"/>
      <c r="F643" s="52"/>
      <c r="G643" s="52"/>
      <c r="H643" s="52"/>
      <c r="I643" s="52"/>
      <c r="J643" s="136"/>
      <c r="K643" s="136"/>
      <c r="L643" s="136"/>
      <c r="M643" s="136"/>
      <c r="N643" s="27"/>
      <c r="O643" s="183"/>
      <c r="P643" s="78"/>
    </row>
    <row r="644" spans="2:16" s="73" customFormat="1" x14ac:dyDescent="0.25">
      <c r="B644" s="107" t="s">
        <v>1265</v>
      </c>
      <c r="C644" s="216" t="s">
        <v>1098</v>
      </c>
      <c r="D644" s="72">
        <f t="shared" si="178"/>
        <v>0</v>
      </c>
      <c r="E644" s="52"/>
      <c r="F644" s="52"/>
      <c r="G644" s="52"/>
      <c r="H644" s="52"/>
      <c r="I644" s="52"/>
      <c r="J644" s="136"/>
      <c r="K644" s="136"/>
      <c r="L644" s="136"/>
      <c r="M644" s="136"/>
      <c r="N644" s="27"/>
      <c r="O644" s="183"/>
      <c r="P644" s="78"/>
    </row>
    <row r="645" spans="2:16" s="73" customFormat="1" x14ac:dyDescent="0.25">
      <c r="B645" s="107" t="s">
        <v>1266</v>
      </c>
      <c r="C645" s="216" t="s">
        <v>1103</v>
      </c>
      <c r="D645" s="72">
        <f t="shared" si="178"/>
        <v>0</v>
      </c>
      <c r="E645" s="52"/>
      <c r="F645" s="52"/>
      <c r="G645" s="52"/>
      <c r="H645" s="52"/>
      <c r="I645" s="52"/>
      <c r="J645" s="136"/>
      <c r="K645" s="136"/>
      <c r="L645" s="136"/>
      <c r="M645" s="136"/>
      <c r="N645" s="27"/>
      <c r="O645" s="183"/>
      <c r="P645" s="78"/>
    </row>
    <row r="646" spans="2:16" s="73" customFormat="1" x14ac:dyDescent="0.25">
      <c r="B646" s="107" t="s">
        <v>1267</v>
      </c>
      <c r="C646" s="216" t="s">
        <v>1152</v>
      </c>
      <c r="D646" s="72">
        <f>SUM(E646:I646)+SUM(K646:M646)</f>
        <v>0</v>
      </c>
      <c r="E646" s="185">
        <f t="shared" ref="E646:M646" si="179">E637-E638-E641-E642-E643-E644-E645</f>
        <v>0</v>
      </c>
      <c r="F646" s="185">
        <f t="shared" si="179"/>
        <v>0</v>
      </c>
      <c r="G646" s="185">
        <f t="shared" si="179"/>
        <v>0</v>
      </c>
      <c r="H646" s="185">
        <f t="shared" si="179"/>
        <v>0</v>
      </c>
      <c r="I646" s="185">
        <f t="shared" si="179"/>
        <v>0</v>
      </c>
      <c r="J646" s="153">
        <f t="shared" si="179"/>
        <v>0</v>
      </c>
      <c r="K646" s="153">
        <f t="shared" si="179"/>
        <v>0</v>
      </c>
      <c r="L646" s="153">
        <f t="shared" si="179"/>
        <v>0</v>
      </c>
      <c r="M646" s="153">
        <f t="shared" si="179"/>
        <v>0</v>
      </c>
      <c r="N646" s="27"/>
      <c r="O646" s="76"/>
      <c r="P646" s="78"/>
    </row>
    <row r="647" spans="2:16" s="73" customFormat="1" ht="90" x14ac:dyDescent="0.25">
      <c r="B647" s="107" t="s">
        <v>1268</v>
      </c>
      <c r="C647" s="216" t="s">
        <v>1391</v>
      </c>
      <c r="D647" s="72">
        <f t="shared" ref="D647" si="180">SUM(E647:I647)+SUM(K647:M647)</f>
        <v>0</v>
      </c>
      <c r="E647" s="134"/>
      <c r="F647" s="134"/>
      <c r="G647" s="134"/>
      <c r="H647" s="134"/>
      <c r="I647" s="134"/>
      <c r="J647" s="134"/>
      <c r="K647" s="134"/>
      <c r="L647" s="134"/>
      <c r="M647" s="134"/>
      <c r="N647" s="37"/>
      <c r="O647" s="76"/>
      <c r="P647" s="78"/>
    </row>
    <row r="648" spans="2:16" s="73" customFormat="1" x14ac:dyDescent="0.25">
      <c r="B648" s="107" t="s">
        <v>1269</v>
      </c>
      <c r="C648" s="216" t="s">
        <v>1096</v>
      </c>
      <c r="D648" s="72">
        <f t="shared" ref="D648" si="181">SUM(E648:I648)+SUM(K648:M648)</f>
        <v>0</v>
      </c>
      <c r="E648" s="134"/>
      <c r="F648" s="134"/>
      <c r="G648" s="134"/>
      <c r="H648" s="134"/>
      <c r="I648" s="134"/>
      <c r="J648" s="134"/>
      <c r="K648" s="134"/>
      <c r="L648" s="134"/>
      <c r="M648" s="134"/>
      <c r="N648" s="27"/>
      <c r="O648" s="76"/>
      <c r="P648" s="78"/>
    </row>
    <row r="649" spans="2:16" s="73" customFormat="1" x14ac:dyDescent="0.25">
      <c r="B649" s="107" t="s">
        <v>1270</v>
      </c>
      <c r="C649" s="216" t="s">
        <v>1197</v>
      </c>
      <c r="D649" s="72">
        <f>SUM(E649:I649)+SUM(K649:M649)</f>
        <v>0</v>
      </c>
      <c r="E649" s="134"/>
      <c r="F649" s="134"/>
      <c r="G649" s="134"/>
      <c r="H649" s="134"/>
      <c r="I649" s="134"/>
      <c r="J649" s="134"/>
      <c r="K649" s="134"/>
      <c r="L649" s="134"/>
      <c r="M649" s="134"/>
      <c r="N649" s="27"/>
      <c r="O649" s="76"/>
      <c r="P649" s="78"/>
    </row>
    <row r="650" spans="2:16" s="73" customFormat="1" x14ac:dyDescent="0.25">
      <c r="B650" s="107" t="s">
        <v>1271</v>
      </c>
      <c r="C650" s="216" t="s">
        <v>1198</v>
      </c>
      <c r="D650" s="72">
        <f>SUM(E650:I650)+SUM(K650:M650)</f>
        <v>0</v>
      </c>
      <c r="E650" s="134"/>
      <c r="F650" s="134"/>
      <c r="G650" s="134"/>
      <c r="H650" s="134"/>
      <c r="I650" s="134"/>
      <c r="J650" s="134"/>
      <c r="K650" s="134"/>
      <c r="L650" s="134"/>
      <c r="M650" s="134"/>
      <c r="N650" s="27"/>
      <c r="O650" s="76"/>
      <c r="P650" s="78"/>
    </row>
    <row r="651" spans="2:16" s="73" customFormat="1" ht="45" x14ac:dyDescent="0.25">
      <c r="B651" s="107" t="s">
        <v>1272</v>
      </c>
      <c r="C651" s="216" t="s">
        <v>1201</v>
      </c>
      <c r="D651" s="72">
        <f t="shared" ref="D651:D655" si="182">SUM(E651:I651)+SUM(K651:M651)</f>
        <v>0</v>
      </c>
      <c r="E651" s="134"/>
      <c r="F651" s="134"/>
      <c r="G651" s="134"/>
      <c r="H651" s="134"/>
      <c r="I651" s="134"/>
      <c r="J651" s="134"/>
      <c r="K651" s="134"/>
      <c r="L651" s="134"/>
      <c r="M651" s="134"/>
      <c r="N651" s="27"/>
      <c r="O651" s="76"/>
      <c r="P651" s="78"/>
    </row>
    <row r="652" spans="2:16" s="73" customFormat="1" ht="45" x14ac:dyDescent="0.25">
      <c r="B652" s="107" t="s">
        <v>1273</v>
      </c>
      <c r="C652" s="216" t="s">
        <v>1202</v>
      </c>
      <c r="D652" s="72">
        <f t="shared" si="182"/>
        <v>0</v>
      </c>
      <c r="E652" s="134"/>
      <c r="F652" s="134"/>
      <c r="G652" s="134"/>
      <c r="H652" s="134"/>
      <c r="I652" s="134"/>
      <c r="J652" s="134"/>
      <c r="K652" s="134"/>
      <c r="L652" s="134"/>
      <c r="M652" s="134"/>
      <c r="N652" s="27"/>
      <c r="O652" s="76"/>
      <c r="P652" s="78"/>
    </row>
    <row r="653" spans="2:16" s="73" customFormat="1" x14ac:dyDescent="0.25">
      <c r="B653" s="107" t="s">
        <v>1274</v>
      </c>
      <c r="C653" s="216" t="s">
        <v>1097</v>
      </c>
      <c r="D653" s="72">
        <f t="shared" si="182"/>
        <v>0</v>
      </c>
      <c r="E653" s="134"/>
      <c r="F653" s="134"/>
      <c r="G653" s="134"/>
      <c r="H653" s="134"/>
      <c r="I653" s="134"/>
      <c r="J653" s="134"/>
      <c r="K653" s="134"/>
      <c r="L653" s="134"/>
      <c r="M653" s="134"/>
      <c r="N653" s="27"/>
      <c r="O653" s="76"/>
      <c r="P653" s="78"/>
    </row>
    <row r="654" spans="2:16" s="73" customFormat="1" x14ac:dyDescent="0.25">
      <c r="B654" s="107" t="s">
        <v>1275</v>
      </c>
      <c r="C654" s="216" t="s">
        <v>1098</v>
      </c>
      <c r="D654" s="72">
        <f t="shared" si="182"/>
        <v>0</v>
      </c>
      <c r="E654" s="134"/>
      <c r="F654" s="134"/>
      <c r="G654" s="134"/>
      <c r="H654" s="134"/>
      <c r="I654" s="134"/>
      <c r="J654" s="134"/>
      <c r="K654" s="134"/>
      <c r="L654" s="134"/>
      <c r="M654" s="134"/>
      <c r="N654" s="27"/>
      <c r="O654" s="76"/>
      <c r="P654" s="78"/>
    </row>
    <row r="655" spans="2:16" s="73" customFormat="1" x14ac:dyDescent="0.25">
      <c r="B655" s="107" t="s">
        <v>1276</v>
      </c>
      <c r="C655" s="216" t="s">
        <v>1103</v>
      </c>
      <c r="D655" s="72">
        <f t="shared" si="182"/>
        <v>0</v>
      </c>
      <c r="E655" s="134"/>
      <c r="F655" s="134"/>
      <c r="G655" s="134"/>
      <c r="H655" s="134"/>
      <c r="I655" s="134"/>
      <c r="J655" s="134"/>
      <c r="K655" s="134"/>
      <c r="L655" s="134"/>
      <c r="M655" s="134"/>
      <c r="N655" s="27"/>
      <c r="O655" s="76"/>
      <c r="P655" s="78"/>
    </row>
    <row r="656" spans="2:16" s="73" customFormat="1" x14ac:dyDescent="0.25">
      <c r="B656" s="107" t="s">
        <v>1277</v>
      </c>
      <c r="C656" s="216" t="s">
        <v>1152</v>
      </c>
      <c r="D656" s="72">
        <f>SUM(E656:I656)+SUM(K656:M656)</f>
        <v>0</v>
      </c>
      <c r="E656" s="153">
        <f t="shared" ref="E656:M656" si="183">E647-E648-E651-E652-E653-E654-E655</f>
        <v>0</v>
      </c>
      <c r="F656" s="153">
        <f t="shared" si="183"/>
        <v>0</v>
      </c>
      <c r="G656" s="153">
        <f t="shared" si="183"/>
        <v>0</v>
      </c>
      <c r="H656" s="153">
        <f t="shared" si="183"/>
        <v>0</v>
      </c>
      <c r="I656" s="153">
        <f t="shared" si="183"/>
        <v>0</v>
      </c>
      <c r="J656" s="153">
        <f t="shared" si="183"/>
        <v>0</v>
      </c>
      <c r="K656" s="153">
        <f t="shared" si="183"/>
        <v>0</v>
      </c>
      <c r="L656" s="153">
        <f t="shared" si="183"/>
        <v>0</v>
      </c>
      <c r="M656" s="153">
        <f t="shared" si="183"/>
        <v>0</v>
      </c>
      <c r="N656" s="27"/>
      <c r="O656" s="76"/>
      <c r="P656" s="78"/>
    </row>
    <row r="657" spans="2:16" s="73" customFormat="1" ht="105" x14ac:dyDescent="0.25">
      <c r="B657" s="107" t="s">
        <v>1278</v>
      </c>
      <c r="C657" s="216" t="s">
        <v>1392</v>
      </c>
      <c r="D657" s="72">
        <f t="shared" ref="D657:D658" si="184">SUM(E657:I657)+SUM(K657:M657)</f>
        <v>0</v>
      </c>
      <c r="E657" s="52"/>
      <c r="F657" s="52"/>
      <c r="G657" s="52"/>
      <c r="H657" s="52"/>
      <c r="I657" s="52"/>
      <c r="J657" s="136"/>
      <c r="K657" s="136"/>
      <c r="L657" s="136"/>
      <c r="M657" s="136"/>
      <c r="N657" s="37"/>
      <c r="O657" s="76"/>
      <c r="P657" s="78"/>
    </row>
    <row r="658" spans="2:16" s="73" customFormat="1" x14ac:dyDescent="0.25">
      <c r="B658" s="107" t="s">
        <v>1279</v>
      </c>
      <c r="C658" s="216" t="s">
        <v>1096</v>
      </c>
      <c r="D658" s="72">
        <f t="shared" si="184"/>
        <v>0</v>
      </c>
      <c r="E658" s="52"/>
      <c r="F658" s="52"/>
      <c r="G658" s="52"/>
      <c r="H658" s="52"/>
      <c r="I658" s="52"/>
      <c r="J658" s="136"/>
      <c r="K658" s="136"/>
      <c r="L658" s="136"/>
      <c r="M658" s="136"/>
      <c r="N658" s="27"/>
      <c r="O658" s="183"/>
      <c r="P658" s="78"/>
    </row>
    <row r="659" spans="2:16" s="73" customFormat="1" x14ac:dyDescent="0.25">
      <c r="B659" s="107" t="s">
        <v>1280</v>
      </c>
      <c r="C659" s="216" t="s">
        <v>1197</v>
      </c>
      <c r="D659" s="72">
        <f>SUM(E659:I659)+SUM(K659:M659)</f>
        <v>0</v>
      </c>
      <c r="E659" s="134"/>
      <c r="F659" s="134"/>
      <c r="G659" s="134"/>
      <c r="H659" s="134"/>
      <c r="I659" s="134"/>
      <c r="J659" s="134"/>
      <c r="K659" s="134"/>
      <c r="L659" s="134"/>
      <c r="M659" s="134"/>
      <c r="N659" s="27"/>
      <c r="O659" s="76"/>
      <c r="P659" s="78"/>
    </row>
    <row r="660" spans="2:16" s="73" customFormat="1" x14ac:dyDescent="0.25">
      <c r="B660" s="107" t="s">
        <v>1281</v>
      </c>
      <c r="C660" s="216" t="s">
        <v>1198</v>
      </c>
      <c r="D660" s="72">
        <f>SUM(E660:I660)+SUM(K660:M660)</f>
        <v>0</v>
      </c>
      <c r="E660" s="134"/>
      <c r="F660" s="134"/>
      <c r="G660" s="134"/>
      <c r="H660" s="134"/>
      <c r="I660" s="134"/>
      <c r="J660" s="134"/>
      <c r="K660" s="134"/>
      <c r="L660" s="134"/>
      <c r="M660" s="134"/>
      <c r="N660" s="27"/>
      <c r="O660" s="76"/>
      <c r="P660" s="78"/>
    </row>
    <row r="661" spans="2:16" s="73" customFormat="1" ht="45" x14ac:dyDescent="0.25">
      <c r="B661" s="107" t="s">
        <v>1282</v>
      </c>
      <c r="C661" s="216" t="s">
        <v>1201</v>
      </c>
      <c r="D661" s="72">
        <f t="shared" ref="D661:D665" si="185">SUM(E661:I661)+SUM(K661:M661)</f>
        <v>0</v>
      </c>
      <c r="E661" s="52"/>
      <c r="F661" s="52"/>
      <c r="G661" s="52"/>
      <c r="H661" s="52"/>
      <c r="I661" s="52"/>
      <c r="J661" s="136"/>
      <c r="K661" s="136"/>
      <c r="L661" s="136"/>
      <c r="M661" s="136"/>
      <c r="N661" s="27"/>
      <c r="O661" s="183"/>
      <c r="P661" s="78"/>
    </row>
    <row r="662" spans="2:16" s="73" customFormat="1" ht="45" x14ac:dyDescent="0.25">
      <c r="B662" s="107" t="s">
        <v>1283</v>
      </c>
      <c r="C662" s="216" t="s">
        <v>1202</v>
      </c>
      <c r="D662" s="72">
        <f t="shared" si="185"/>
        <v>0</v>
      </c>
      <c r="E662" s="52"/>
      <c r="F662" s="52"/>
      <c r="G662" s="52"/>
      <c r="H662" s="52"/>
      <c r="I662" s="52"/>
      <c r="J662" s="136"/>
      <c r="K662" s="136"/>
      <c r="L662" s="136"/>
      <c r="M662" s="136"/>
      <c r="N662" s="27"/>
      <c r="O662" s="183"/>
      <c r="P662" s="78"/>
    </row>
    <row r="663" spans="2:16" s="73" customFormat="1" x14ac:dyDescent="0.25">
      <c r="B663" s="107" t="s">
        <v>1284</v>
      </c>
      <c r="C663" s="216" t="s">
        <v>1097</v>
      </c>
      <c r="D663" s="72">
        <f t="shared" si="185"/>
        <v>0</v>
      </c>
      <c r="E663" s="52"/>
      <c r="F663" s="52"/>
      <c r="G663" s="52"/>
      <c r="H663" s="52"/>
      <c r="I663" s="52"/>
      <c r="J663" s="136"/>
      <c r="K663" s="136"/>
      <c r="L663" s="136"/>
      <c r="M663" s="136"/>
      <c r="N663" s="27"/>
      <c r="O663" s="183"/>
      <c r="P663" s="78"/>
    </row>
    <row r="664" spans="2:16" s="73" customFormat="1" x14ac:dyDescent="0.25">
      <c r="B664" s="107" t="s">
        <v>1285</v>
      </c>
      <c r="C664" s="216" t="s">
        <v>1098</v>
      </c>
      <c r="D664" s="72">
        <f t="shared" si="185"/>
        <v>0</v>
      </c>
      <c r="E664" s="52"/>
      <c r="F664" s="52"/>
      <c r="G664" s="52"/>
      <c r="H664" s="52"/>
      <c r="I664" s="52"/>
      <c r="J664" s="136"/>
      <c r="K664" s="136"/>
      <c r="L664" s="136"/>
      <c r="M664" s="136"/>
      <c r="N664" s="27"/>
      <c r="O664" s="183"/>
      <c r="P664" s="78"/>
    </row>
    <row r="665" spans="2:16" s="73" customFormat="1" x14ac:dyDescent="0.25">
      <c r="B665" s="107" t="s">
        <v>1286</v>
      </c>
      <c r="C665" s="216" t="s">
        <v>1103</v>
      </c>
      <c r="D665" s="72">
        <f t="shared" si="185"/>
        <v>0</v>
      </c>
      <c r="E665" s="52"/>
      <c r="F665" s="52"/>
      <c r="G665" s="52"/>
      <c r="H665" s="52"/>
      <c r="I665" s="52"/>
      <c r="J665" s="136"/>
      <c r="K665" s="136"/>
      <c r="L665" s="136"/>
      <c r="M665" s="136"/>
      <c r="N665" s="27"/>
      <c r="O665" s="183"/>
      <c r="P665" s="78"/>
    </row>
    <row r="666" spans="2:16" s="73" customFormat="1" x14ac:dyDescent="0.25">
      <c r="B666" s="107" t="s">
        <v>1287</v>
      </c>
      <c r="C666" s="216" t="s">
        <v>1152</v>
      </c>
      <c r="D666" s="72">
        <f>SUM(E666:I666)+SUM(K666:M666)</f>
        <v>0</v>
      </c>
      <c r="E666" s="185">
        <f t="shared" ref="E666:M666" si="186">E657-E658-E661-E662-E663-E664-E665</f>
        <v>0</v>
      </c>
      <c r="F666" s="185">
        <f t="shared" si="186"/>
        <v>0</v>
      </c>
      <c r="G666" s="185">
        <f t="shared" si="186"/>
        <v>0</v>
      </c>
      <c r="H666" s="185">
        <f t="shared" si="186"/>
        <v>0</v>
      </c>
      <c r="I666" s="185">
        <f t="shared" si="186"/>
        <v>0</v>
      </c>
      <c r="J666" s="153">
        <f t="shared" si="186"/>
        <v>0</v>
      </c>
      <c r="K666" s="153">
        <f t="shared" si="186"/>
        <v>0</v>
      </c>
      <c r="L666" s="153">
        <f t="shared" si="186"/>
        <v>0</v>
      </c>
      <c r="M666" s="153">
        <f t="shared" si="186"/>
        <v>0</v>
      </c>
      <c r="N666" s="27"/>
      <c r="O666" s="76"/>
      <c r="P666" s="78"/>
    </row>
    <row r="667" spans="2:16" s="21" customFormat="1" x14ac:dyDescent="0.25">
      <c r="B667" s="112" t="s">
        <v>36</v>
      </c>
      <c r="C667" s="215" t="s">
        <v>30</v>
      </c>
      <c r="D667" s="55"/>
      <c r="E667" s="56"/>
      <c r="F667" s="56"/>
      <c r="G667" s="56"/>
      <c r="H667" s="56"/>
      <c r="I667" s="56"/>
      <c r="J667" s="56"/>
      <c r="K667" s="56"/>
      <c r="L667" s="56"/>
      <c r="M667" s="56"/>
      <c r="N667" s="209"/>
      <c r="O667" s="74"/>
      <c r="P667" s="42"/>
    </row>
    <row r="668" spans="2:16" s="73" customFormat="1" ht="30" x14ac:dyDescent="0.25">
      <c r="B668" s="109" t="s">
        <v>568</v>
      </c>
      <c r="C668" s="216" t="s">
        <v>1332</v>
      </c>
      <c r="D668" s="208"/>
      <c r="E668" s="56"/>
      <c r="F668" s="56"/>
      <c r="G668" s="56"/>
      <c r="H668" s="56"/>
      <c r="I668" s="56"/>
      <c r="J668" s="56"/>
      <c r="K668" s="56"/>
      <c r="L668" s="56"/>
      <c r="M668" s="56"/>
      <c r="N668" s="209"/>
      <c r="O668" s="74"/>
      <c r="P668" s="42"/>
    </row>
    <row r="669" spans="2:16" s="73" customFormat="1" ht="60" x14ac:dyDescent="0.25">
      <c r="B669" s="109" t="s">
        <v>801</v>
      </c>
      <c r="C669" s="216" t="s">
        <v>1338</v>
      </c>
      <c r="D669" s="208"/>
      <c r="E669" s="56"/>
      <c r="F669" s="56"/>
      <c r="G669" s="56"/>
      <c r="H669" s="56"/>
      <c r="I669" s="56"/>
      <c r="J669" s="56"/>
      <c r="K669" s="56"/>
      <c r="L669" s="56"/>
      <c r="M669" s="56"/>
      <c r="N669" s="209"/>
      <c r="O669" s="74"/>
      <c r="P669" s="42"/>
    </row>
    <row r="670" spans="2:16" s="73" customFormat="1" ht="30" x14ac:dyDescent="0.25">
      <c r="B670" s="109" t="s">
        <v>1339</v>
      </c>
      <c r="C670" s="216" t="s">
        <v>1393</v>
      </c>
      <c r="D670" s="208"/>
      <c r="E670" s="56"/>
      <c r="F670" s="56"/>
      <c r="G670" s="56"/>
      <c r="H670" s="56"/>
      <c r="I670" s="56"/>
      <c r="J670" s="56"/>
      <c r="K670" s="56"/>
      <c r="L670" s="56"/>
      <c r="M670" s="56"/>
      <c r="N670" s="209"/>
      <c r="O670" s="74"/>
      <c r="P670" s="42"/>
    </row>
    <row r="671" spans="2:16" s="73" customFormat="1" ht="30" x14ac:dyDescent="0.25">
      <c r="B671" s="109" t="s">
        <v>1340</v>
      </c>
      <c r="C671" s="216" t="s">
        <v>1394</v>
      </c>
      <c r="D671" s="208"/>
      <c r="E671" s="56"/>
      <c r="F671" s="56"/>
      <c r="G671" s="56"/>
      <c r="H671" s="56"/>
      <c r="I671" s="56"/>
      <c r="J671" s="56"/>
      <c r="K671" s="56"/>
      <c r="L671" s="56"/>
      <c r="M671" s="56"/>
      <c r="N671" s="209"/>
      <c r="O671" s="74"/>
      <c r="P671" s="42"/>
    </row>
    <row r="672" spans="2:16" s="21" customFormat="1" ht="45" x14ac:dyDescent="0.25">
      <c r="B672" s="109" t="s">
        <v>1341</v>
      </c>
      <c r="C672" s="216" t="s">
        <v>200</v>
      </c>
      <c r="D672" s="72">
        <f t="shared" ref="D672:D678" si="187">SUM(E672:I672)+SUM(K672:M672)</f>
        <v>1</v>
      </c>
      <c r="E672" s="136"/>
      <c r="F672" s="136"/>
      <c r="G672" s="136">
        <v>1</v>
      </c>
      <c r="H672" s="136"/>
      <c r="I672" s="136"/>
      <c r="J672" s="134"/>
      <c r="K672" s="136"/>
      <c r="L672" s="136"/>
      <c r="M672" s="136"/>
      <c r="N672" s="37" t="str">
        <f>IF((D672&lt;=D$10)*AND(E672&lt;=E$10)*AND(F672&lt;=F$10)*AND(G672&lt;=G$10)*AND(H672&lt;=H$10)*AND(I672&lt;=I$10)*AND(K672&lt;=K$10)*AND(L672&lt;=L$10)*AND(M672&lt;=M$10)*AND(J672&lt;=J$10),"Выполнено","ПРОВЕРИТЬ (таких муниципальных образований не может быть больше их общего числа)")</f>
        <v>Выполнено</v>
      </c>
      <c r="O672" s="76"/>
      <c r="P672" s="48"/>
    </row>
    <row r="673" spans="2:16" s="21" customFormat="1" x14ac:dyDescent="0.25">
      <c r="B673" s="109" t="s">
        <v>1342</v>
      </c>
      <c r="C673" s="216" t="s">
        <v>169</v>
      </c>
      <c r="D673" s="72">
        <f t="shared" si="187"/>
        <v>1</v>
      </c>
      <c r="E673" s="136"/>
      <c r="F673" s="136"/>
      <c r="G673" s="136">
        <v>1</v>
      </c>
      <c r="H673" s="136"/>
      <c r="I673" s="136"/>
      <c r="J673" s="134"/>
      <c r="K673" s="136"/>
      <c r="L673" s="136"/>
      <c r="M673" s="136"/>
      <c r="N673" s="83" t="str">
        <f>IF((D673&lt;=D672)*AND(E673&lt;=E672)*AND(F673&lt;=F672)*AND(G673&lt;=G672)*AND(H673&lt;=H672)*AND(I673&lt;=I672)*AND(K673&lt;=K672)*AND(L673&lt;=L672)*AND(M673&lt;=M672)*AND(J673&lt;=J672),"Выполнено","ПРОВЕРИТЬ (эта подстрока не может быть больше 27.1)
)")</f>
        <v>Выполнено</v>
      </c>
      <c r="O673" s="76"/>
      <c r="P673" s="48"/>
    </row>
    <row r="674" spans="2:16" s="21" customFormat="1" ht="30" x14ac:dyDescent="0.25">
      <c r="B674" s="108" t="s">
        <v>1343</v>
      </c>
      <c r="C674" s="217" t="s">
        <v>170</v>
      </c>
      <c r="D674" s="72">
        <f t="shared" si="187"/>
        <v>0</v>
      </c>
      <c r="E674" s="135"/>
      <c r="F674" s="135"/>
      <c r="G674" s="135"/>
      <c r="H674" s="135"/>
      <c r="I674" s="135"/>
      <c r="J674" s="135"/>
      <c r="K674" s="135"/>
      <c r="L674" s="135"/>
      <c r="M674" s="135"/>
      <c r="N674" s="94" t="str">
        <f>IF((D674&lt;=D672)*AND(E674&lt;=E672)*AND(F674&lt;=F672)*AND(G674&lt;=G672)*AND(H674&lt;=H672)*AND(I674&lt;=I672)*AND(K674&lt;=K672)*AND(L674&lt;=L672)*AND(M674&lt;=M672)*AND(J674&lt;=J672)*AND(D674&lt;=D564)*AND(E674&lt;=E564)*AND(F674&lt;=F564)*AND(G674&lt;=G564)*AND(H674&lt;=H564)*AND(I674&lt;=I564)*AND(K674&lt;=K564)*AND(L674&lt;=L564)*AND(M674&lt;=M564)*AND(J674&lt;=J564),"Выполнено","ПРОВЕРИТЬ (эта подстрока не может быть больше 25.1 или 24.2.3.)
)")</f>
        <v>Выполнено</v>
      </c>
      <c r="O674" s="79" t="str">
        <f>IF(((D674=0)),"   ","Нужно заполнить пункт 56 текстовой части - об участии муниципалитетов в некоммерческих организациях")</f>
        <v xml:space="preserve">   </v>
      </c>
      <c r="P674" s="42"/>
    </row>
    <row r="675" spans="2:16" s="21" customFormat="1" x14ac:dyDescent="0.25">
      <c r="B675" s="108" t="s">
        <v>1344</v>
      </c>
      <c r="C675" s="217" t="s">
        <v>171</v>
      </c>
      <c r="D675" s="72">
        <f t="shared" si="187"/>
        <v>0</v>
      </c>
      <c r="E675" s="135"/>
      <c r="F675" s="135"/>
      <c r="G675" s="135"/>
      <c r="H675" s="135"/>
      <c r="I675" s="135"/>
      <c r="J675" s="135"/>
      <c r="K675" s="135"/>
      <c r="L675" s="135"/>
      <c r="M675" s="135"/>
      <c r="N675" s="37" t="str">
        <f>IF((D675&lt;=D672)*AND(E675&lt;=E672)*AND(F675&lt;=F672)*AND(G675&lt;=G672)*AND(H675&lt;=H672)*AND(I675&lt;=I672)*AND(K675&lt;=K672)*AND(L675&lt;=L672)*AND(M675&lt;=M672)*AND(J675&lt;=J672)*AND(D675&lt;=D562)*AND(E675&lt;=E562)*AND(F675&lt;=F562)*AND(G675&lt;=G562)*AND(H675&lt;=H562)*AND(I675&lt;=I562)*AND(K675&lt;=K562)*AND(L675&lt;=L562)*AND(M675&lt;=M562)*AND(J675&lt;=J562),"Выполнено","ПРОВЕРИТЬ (эта подстрока не может быть больше 27.1 или 26.2.1.)
)")</f>
        <v>Выполнено</v>
      </c>
      <c r="O675" s="79" t="str">
        <f>IF(((D675=0)),"   ","Нужно заполнить пункт 56 текстовой части - об участии в межмуниципальных хозяйственных организациях")</f>
        <v xml:space="preserve">   </v>
      </c>
      <c r="P675" s="48"/>
    </row>
    <row r="676" spans="2:16" s="21" customFormat="1" ht="30" x14ac:dyDescent="0.25">
      <c r="B676" s="109" t="s">
        <v>1345</v>
      </c>
      <c r="C676" s="216" t="s">
        <v>201</v>
      </c>
      <c r="D676" s="72">
        <f t="shared" si="187"/>
        <v>11</v>
      </c>
      <c r="E676" s="153">
        <f t="shared" ref="E676:M676" si="188">E10-E672</f>
        <v>1</v>
      </c>
      <c r="F676" s="153">
        <f t="shared" si="188"/>
        <v>0</v>
      </c>
      <c r="G676" s="153">
        <f t="shared" si="188"/>
        <v>10</v>
      </c>
      <c r="H676" s="153">
        <f t="shared" si="188"/>
        <v>0</v>
      </c>
      <c r="I676" s="153">
        <f t="shared" si="188"/>
        <v>0</v>
      </c>
      <c r="J676" s="153">
        <f t="shared" si="188"/>
        <v>0</v>
      </c>
      <c r="K676" s="153">
        <f t="shared" si="188"/>
        <v>0</v>
      </c>
      <c r="L676" s="153">
        <f t="shared" si="188"/>
        <v>0</v>
      </c>
      <c r="M676" s="153">
        <f t="shared" si="188"/>
        <v>0</v>
      </c>
      <c r="N676" s="76"/>
      <c r="O676" s="76"/>
      <c r="P676" s="48"/>
    </row>
    <row r="677" spans="2:16" s="21" customFormat="1" ht="60" x14ac:dyDescent="0.25">
      <c r="B677" s="108" t="s">
        <v>804</v>
      </c>
      <c r="C677" s="217" t="s">
        <v>993</v>
      </c>
      <c r="D677" s="72">
        <f t="shared" si="187"/>
        <v>0</v>
      </c>
      <c r="E677" s="135"/>
      <c r="F677" s="135"/>
      <c r="G677" s="135"/>
      <c r="H677" s="135"/>
      <c r="I677" s="135"/>
      <c r="J677" s="135"/>
      <c r="K677" s="135"/>
      <c r="L677" s="135"/>
      <c r="M677" s="135"/>
      <c r="N677" s="37" t="str">
        <f>IF((D677&lt;=D$10)*AND(E677&lt;=E$10)*AND(F677&lt;=F$10)*AND(G677&lt;=G$10)*AND(H677&lt;=H$10)*AND(I677&lt;=I$10)*AND(K677&lt;=K$10)*AND(L677&lt;=L$10)*AND(M677&lt;=M$10)*AND(J677&lt;=J$10),"Выполнено","ПРОВЕРИТЬ (таких муниципальных образований не может быть больше их общего числа)")</f>
        <v>Выполнено</v>
      </c>
      <c r="O677" s="79" t="str">
        <f>IF(((D677=0)),"   ","Нужно заполнить пункт 57 текстовой части - о двустороннем сотрудничестве муниципалитетов в пределах Российской Федерации")</f>
        <v xml:space="preserve">   </v>
      </c>
      <c r="P677" s="48"/>
    </row>
    <row r="678" spans="2:16" s="21" customFormat="1" ht="60" x14ac:dyDescent="0.25">
      <c r="B678" s="108" t="s">
        <v>1305</v>
      </c>
      <c r="C678" s="217" t="s">
        <v>398</v>
      </c>
      <c r="D678" s="72">
        <f t="shared" si="187"/>
        <v>0</v>
      </c>
      <c r="E678" s="135"/>
      <c r="F678" s="135"/>
      <c r="G678" s="135"/>
      <c r="H678" s="135"/>
      <c r="I678" s="135"/>
      <c r="J678" s="135"/>
      <c r="K678" s="135"/>
      <c r="L678" s="135"/>
      <c r="M678" s="135"/>
      <c r="N678" s="37" t="str">
        <f>IF((D678&lt;=D$10)*AND(E678&lt;=E$10)*AND(F678&lt;=F$10)*AND(G678&lt;=G$10)*AND(H678&lt;=H$10)*AND(I678&lt;=I$10)*AND(K678&lt;=K$10)*AND(L678&lt;=L$10)*AND(M678&lt;=M$10)*AND(J678&lt;=J$10),"Выполнено","ПРОВЕРИТЬ (таких муниципальных образований не может быть больше их общего числа)")</f>
        <v>Выполнено</v>
      </c>
      <c r="O678" s="79" t="str">
        <f>IF(((D678=0)),"   ","Нужно заполнить пункт 57 текстовой части - о сотрудничестве с зарубежными муниципалитетами")</f>
        <v xml:space="preserve">   </v>
      </c>
      <c r="P678" s="42"/>
    </row>
    <row r="679" spans="2:16" s="73" customFormat="1" ht="45" x14ac:dyDescent="0.25">
      <c r="B679" s="107" t="s">
        <v>1346</v>
      </c>
      <c r="C679" s="216" t="s">
        <v>1347</v>
      </c>
      <c r="D679" s="72">
        <f>SUM(E679:I679)+SUM(K679:M679)</f>
        <v>2</v>
      </c>
      <c r="E679" s="134"/>
      <c r="F679" s="134"/>
      <c r="G679" s="134">
        <v>2</v>
      </c>
      <c r="H679" s="134"/>
      <c r="I679" s="134"/>
      <c r="J679" s="134"/>
      <c r="K679" s="134"/>
      <c r="L679" s="134"/>
      <c r="M679" s="134"/>
      <c r="N679" s="37"/>
      <c r="O679" s="79"/>
      <c r="P679" s="42"/>
    </row>
    <row r="680" spans="2:16" s="21" customFormat="1" ht="30" x14ac:dyDescent="0.25">
      <c r="B680" s="112" t="s">
        <v>805</v>
      </c>
      <c r="C680" s="215" t="s">
        <v>1162</v>
      </c>
      <c r="D680" s="55"/>
      <c r="E680" s="56"/>
      <c r="F680" s="56"/>
      <c r="G680" s="56"/>
      <c r="H680" s="56"/>
      <c r="I680" s="56"/>
      <c r="J680" s="56"/>
      <c r="K680" s="56"/>
      <c r="L680" s="56"/>
      <c r="M680" s="56"/>
      <c r="N680" s="33"/>
      <c r="O680" s="74"/>
      <c r="P680" s="42"/>
    </row>
    <row r="681" spans="2:16" s="21" customFormat="1" ht="30" x14ac:dyDescent="0.25">
      <c r="B681" s="108" t="s">
        <v>806</v>
      </c>
      <c r="C681" s="217" t="s">
        <v>1073</v>
      </c>
      <c r="D681" s="72">
        <f t="shared" ref="D681:D684" si="189">SUM(E681:I681)+SUM(K681:M681)</f>
        <v>0</v>
      </c>
      <c r="E681" s="135"/>
      <c r="F681" s="135"/>
      <c r="G681" s="135"/>
      <c r="H681" s="135"/>
      <c r="I681" s="135"/>
      <c r="J681" s="135"/>
      <c r="K681" s="135"/>
      <c r="L681" s="135"/>
      <c r="M681" s="135"/>
      <c r="N681" s="37" t="str">
        <f>IF((D681&lt;=D140)*AND(E681&lt;=E140)*AND(F681&lt;=F140)*AND(G681&lt;=G140)*AND(H681&lt;=H140)*AND(I681&lt;=I140)*AND(K681&lt;=K140)*AND(L681&lt;=L140)*AND(M681&lt;=M140)*AND(J681&lt;=J140),"Выполнено","ПРОВЕРИТЬ (таких муниципальных образований не может быть больше числа муниципалитетов - участников бюджетных правоотношений в 2021 г.)")</f>
        <v>Выполнено</v>
      </c>
      <c r="O681" s="79" t="str">
        <f>IF(((D681-F681-G681=0)),"   ","Нужно заполнить пункт 58 текстовой части - самообложение и инициативное бюджетирование")</f>
        <v xml:space="preserve">   </v>
      </c>
      <c r="P681" s="42"/>
    </row>
    <row r="682" spans="2:16" s="21" customFormat="1" x14ac:dyDescent="0.25">
      <c r="B682" s="107" t="s">
        <v>489</v>
      </c>
      <c r="C682" s="216" t="s">
        <v>1074</v>
      </c>
      <c r="D682" s="72">
        <f t="shared" si="189"/>
        <v>0</v>
      </c>
      <c r="E682" s="134"/>
      <c r="F682" s="131"/>
      <c r="G682" s="131"/>
      <c r="H682" s="124"/>
      <c r="I682" s="134"/>
      <c r="J682" s="134"/>
      <c r="K682" s="134"/>
      <c r="L682" s="134"/>
      <c r="M682" s="134"/>
      <c r="N682" s="30"/>
      <c r="O682" s="76"/>
      <c r="P682" s="42"/>
    </row>
    <row r="683" spans="2:16" s="21" customFormat="1" ht="75" x14ac:dyDescent="0.25">
      <c r="B683" s="108" t="s">
        <v>807</v>
      </c>
      <c r="C683" s="217" t="s">
        <v>1075</v>
      </c>
      <c r="D683" s="72">
        <f t="shared" si="189"/>
        <v>1</v>
      </c>
      <c r="E683" s="135"/>
      <c r="F683" s="122"/>
      <c r="G683" s="122">
        <v>1</v>
      </c>
      <c r="H683" s="122"/>
      <c r="I683" s="135"/>
      <c r="J683" s="135"/>
      <c r="K683" s="135"/>
      <c r="L683" s="135"/>
      <c r="M683" s="135"/>
      <c r="N683" s="37" t="str">
        <f>IF((D683&lt;=D140)*AND(E683&lt;=E140)*AND(F683&lt;=F140)*AND(G683&lt;=G140)*AND(H683&lt;=H140)*AND(I683&lt;=I140)*AND(K683&lt;=K140)*AND(L683&lt;=L140)*AND(M683&lt;=M140)*AND(J683&lt;=J140),"Выполнено","ПРОВЕРИТЬ (таких муниципальных образований не может быть больше числа муниципалитетов - участников бюджетных правоотношений в 2021 г.)")</f>
        <v>Выполнено</v>
      </c>
      <c r="O683" s="79" t="str">
        <f>IF(((D683-F683-G683=0)),"   ","Нужно заполнить пункт 58 текстовой части - самообложение и инициативное бюджетирование")</f>
        <v xml:space="preserve">   </v>
      </c>
      <c r="P683" s="42"/>
    </row>
    <row r="684" spans="2:16" s="21" customFormat="1" ht="30" x14ac:dyDescent="0.25">
      <c r="B684" s="107" t="s">
        <v>808</v>
      </c>
      <c r="C684" s="216" t="s">
        <v>1076</v>
      </c>
      <c r="D684" s="72">
        <f t="shared" si="189"/>
        <v>0</v>
      </c>
      <c r="E684" s="134"/>
      <c r="F684" s="131"/>
      <c r="G684" s="131"/>
      <c r="H684" s="131"/>
      <c r="I684" s="134"/>
      <c r="J684" s="134"/>
      <c r="K684" s="134"/>
      <c r="L684" s="134"/>
      <c r="M684" s="134"/>
      <c r="N684" s="30"/>
      <c r="O684" s="76"/>
      <c r="P684" s="42"/>
    </row>
    <row r="685" spans="2:16" s="73" customFormat="1" ht="30" x14ac:dyDescent="0.25">
      <c r="B685" s="107" t="s">
        <v>1161</v>
      </c>
      <c r="C685" s="216" t="s">
        <v>1288</v>
      </c>
      <c r="D685" s="72">
        <f>SUM(E685:I685)+SUM(K685:M685)</f>
        <v>0</v>
      </c>
      <c r="E685" s="134"/>
      <c r="F685" s="131"/>
      <c r="G685" s="131"/>
      <c r="H685" s="131"/>
      <c r="I685" s="134"/>
      <c r="J685" s="134"/>
      <c r="K685" s="134"/>
      <c r="L685" s="134"/>
      <c r="M685" s="134"/>
      <c r="N685" s="76"/>
      <c r="O685" s="183"/>
      <c r="P685" s="42"/>
    </row>
    <row r="686" spans="2:16" s="21" customFormat="1" ht="30" x14ac:dyDescent="0.25">
      <c r="B686" s="106" t="s">
        <v>809</v>
      </c>
      <c r="C686" s="215" t="s">
        <v>516</v>
      </c>
      <c r="D686" s="55"/>
      <c r="E686" s="56"/>
      <c r="F686" s="56"/>
      <c r="G686" s="56"/>
      <c r="H686" s="56"/>
      <c r="I686" s="56"/>
      <c r="J686" s="56"/>
      <c r="K686" s="56"/>
      <c r="L686" s="56"/>
      <c r="M686" s="56"/>
      <c r="N686" s="33"/>
      <c r="O686" s="74"/>
      <c r="P686" s="42"/>
    </row>
    <row r="687" spans="2:16" s="21" customFormat="1" ht="30" x14ac:dyDescent="0.25">
      <c r="B687" s="107" t="s">
        <v>355</v>
      </c>
      <c r="C687" s="216" t="s">
        <v>1077</v>
      </c>
      <c r="D687" s="72">
        <f t="shared" ref="D687:D701" si="190">SUM(E687:I687)+SUM(K687:M687)</f>
        <v>0</v>
      </c>
      <c r="E687" s="133">
        <f t="shared" ref="E687:M687" si="191">SUM(E688:E692)</f>
        <v>0</v>
      </c>
      <c r="F687" s="133">
        <f t="shared" si="191"/>
        <v>0</v>
      </c>
      <c r="G687" s="133">
        <f t="shared" si="191"/>
        <v>0</v>
      </c>
      <c r="H687" s="133">
        <f t="shared" si="191"/>
        <v>0</v>
      </c>
      <c r="I687" s="133">
        <f t="shared" si="191"/>
        <v>0</v>
      </c>
      <c r="J687" s="133">
        <f>SUM(J688:J692)</f>
        <v>0</v>
      </c>
      <c r="K687" s="133">
        <f t="shared" si="191"/>
        <v>0</v>
      </c>
      <c r="L687" s="133">
        <f t="shared" si="191"/>
        <v>0</v>
      </c>
      <c r="M687" s="133">
        <f t="shared" si="191"/>
        <v>0</v>
      </c>
      <c r="N687" s="76"/>
      <c r="O687" s="76"/>
      <c r="P687" s="42"/>
    </row>
    <row r="688" spans="2:16" s="21" customFormat="1" x14ac:dyDescent="0.25">
      <c r="B688" s="107" t="s">
        <v>356</v>
      </c>
      <c r="C688" s="216" t="s">
        <v>517</v>
      </c>
      <c r="D688" s="72">
        <f t="shared" si="190"/>
        <v>0</v>
      </c>
      <c r="E688" s="134"/>
      <c r="F688" s="134"/>
      <c r="G688" s="134"/>
      <c r="H688" s="134"/>
      <c r="I688" s="134"/>
      <c r="J688" s="134"/>
      <c r="K688" s="134"/>
      <c r="L688" s="134"/>
      <c r="M688" s="134"/>
      <c r="N688" s="76"/>
      <c r="O688" s="76"/>
      <c r="P688" s="42"/>
    </row>
    <row r="689" spans="2:16" s="21" customFormat="1" x14ac:dyDescent="0.25">
      <c r="B689" s="107" t="s">
        <v>810</v>
      </c>
      <c r="C689" s="216" t="s">
        <v>518</v>
      </c>
      <c r="D689" s="72">
        <f t="shared" si="190"/>
        <v>0</v>
      </c>
      <c r="E689" s="134"/>
      <c r="F689" s="134"/>
      <c r="G689" s="134"/>
      <c r="H689" s="134"/>
      <c r="I689" s="134"/>
      <c r="J689" s="134"/>
      <c r="K689" s="134"/>
      <c r="L689" s="134"/>
      <c r="M689" s="134"/>
      <c r="N689" s="76"/>
      <c r="O689" s="76"/>
      <c r="P689" s="42"/>
    </row>
    <row r="690" spans="2:16" s="21" customFormat="1" x14ac:dyDescent="0.25">
      <c r="B690" s="107" t="s">
        <v>811</v>
      </c>
      <c r="C690" s="216" t="s">
        <v>519</v>
      </c>
      <c r="D690" s="72">
        <f t="shared" si="190"/>
        <v>0</v>
      </c>
      <c r="E690" s="134"/>
      <c r="F690" s="134"/>
      <c r="G690" s="134"/>
      <c r="H690" s="134"/>
      <c r="I690" s="134"/>
      <c r="J690" s="134"/>
      <c r="K690" s="134"/>
      <c r="L690" s="134"/>
      <c r="M690" s="134"/>
      <c r="N690" s="76"/>
      <c r="O690" s="76"/>
      <c r="P690" s="42"/>
    </row>
    <row r="691" spans="2:16" s="21" customFormat="1" ht="45" x14ac:dyDescent="0.25">
      <c r="B691" s="107" t="s">
        <v>812</v>
      </c>
      <c r="C691" s="216" t="s">
        <v>525</v>
      </c>
      <c r="D691" s="72">
        <f t="shared" si="190"/>
        <v>0</v>
      </c>
      <c r="E691" s="134"/>
      <c r="F691" s="134"/>
      <c r="G691" s="134"/>
      <c r="H691" s="134"/>
      <c r="I691" s="134"/>
      <c r="J691" s="134"/>
      <c r="K691" s="134"/>
      <c r="L691" s="134"/>
      <c r="M691" s="134"/>
      <c r="N691" s="76"/>
      <c r="O691" s="76"/>
      <c r="P691" s="42"/>
    </row>
    <row r="692" spans="2:16" ht="30" x14ac:dyDescent="0.25">
      <c r="B692" s="107" t="s">
        <v>813</v>
      </c>
      <c r="C692" s="216" t="s">
        <v>966</v>
      </c>
      <c r="D692" s="72">
        <f t="shared" si="190"/>
        <v>0</v>
      </c>
      <c r="E692" s="134"/>
      <c r="F692" s="134"/>
      <c r="G692" s="134"/>
      <c r="H692" s="134"/>
      <c r="I692" s="134"/>
      <c r="J692" s="134"/>
      <c r="K692" s="134"/>
      <c r="L692" s="134"/>
      <c r="M692" s="134"/>
      <c r="N692" s="76"/>
      <c r="O692" s="76"/>
      <c r="P692" s="48"/>
    </row>
    <row r="693" spans="2:16" ht="45" x14ac:dyDescent="0.25">
      <c r="B693" s="107" t="s">
        <v>814</v>
      </c>
      <c r="C693" s="216" t="s">
        <v>1078</v>
      </c>
      <c r="D693" s="55"/>
      <c r="E693" s="56"/>
      <c r="F693" s="56"/>
      <c r="G693" s="56"/>
      <c r="H693" s="56"/>
      <c r="I693" s="56"/>
      <c r="J693" s="56"/>
      <c r="K693" s="56"/>
      <c r="L693" s="56"/>
      <c r="M693" s="56"/>
      <c r="N693" s="33"/>
      <c r="O693" s="74"/>
      <c r="P693" s="42"/>
    </row>
    <row r="694" spans="2:16" ht="30" x14ac:dyDescent="0.25">
      <c r="B694" s="107" t="s">
        <v>815</v>
      </c>
      <c r="C694" s="216" t="s">
        <v>521</v>
      </c>
      <c r="D694" s="72">
        <f t="shared" si="190"/>
        <v>0</v>
      </c>
      <c r="E694" s="134"/>
      <c r="F694" s="134"/>
      <c r="G694" s="134"/>
      <c r="H694" s="134"/>
      <c r="I694" s="134"/>
      <c r="J694" s="134"/>
      <c r="K694" s="134"/>
      <c r="L694" s="134"/>
      <c r="M694" s="134"/>
      <c r="N694" s="37" t="str">
        <f>IF((D694&lt;=D688+D689+D690)*AND(E694&lt;=E688+E689+E690)*AND(F694&lt;=F688+F689+F690)*AND(G694&lt;=G688+G689+G690)*AND(H694&lt;=H688+H689+H690)*AND(I694&lt;=I688+I689+I690)*AND(K694&lt;=K688+K689+K690)*AND(L694&lt;=L688+L688+L690)*AND(M694&lt;=M688+M689+M690)*AND(J694&lt;=J688+J689+J690),"Выполнено","ПРОВЕРИТЬ - избранных составов не может быть больше чем проведенных выборов)")</f>
        <v>Выполнено</v>
      </c>
      <c r="O694" s="76"/>
      <c r="P694" s="48"/>
    </row>
    <row r="695" spans="2:16" x14ac:dyDescent="0.25">
      <c r="B695" s="107" t="s">
        <v>816</v>
      </c>
      <c r="C695" s="216" t="s">
        <v>522</v>
      </c>
      <c r="D695" s="72">
        <f t="shared" si="190"/>
        <v>0</v>
      </c>
      <c r="E695" s="134"/>
      <c r="F695" s="134"/>
      <c r="G695" s="134"/>
      <c r="H695" s="134"/>
      <c r="I695" s="134"/>
      <c r="J695" s="134"/>
      <c r="K695" s="134"/>
      <c r="L695" s="134"/>
      <c r="M695" s="134"/>
      <c r="N695" s="76"/>
      <c r="O695" s="76"/>
      <c r="P695" s="48"/>
    </row>
    <row r="696" spans="2:16" x14ac:dyDescent="0.25">
      <c r="B696" s="107" t="s">
        <v>817</v>
      </c>
      <c r="C696" s="216" t="s">
        <v>164</v>
      </c>
      <c r="D696" s="72">
        <f t="shared" si="190"/>
        <v>0</v>
      </c>
      <c r="E696" s="134"/>
      <c r="F696" s="134"/>
      <c r="G696" s="134"/>
      <c r="H696" s="134"/>
      <c r="I696" s="134"/>
      <c r="J696" s="134"/>
      <c r="K696" s="134"/>
      <c r="L696" s="134"/>
      <c r="M696" s="134"/>
      <c r="N696" s="37" t="str">
        <f>IF((D696&lt;=D692)*AND(E696&lt;=E692)*AND(F696&lt;=F692)*AND(G696&lt;=G692)*AND(H696&lt;=H692)*AND(I696&lt;=I692)*AND(K696&lt;=K692)*AND(L696&lt;=L692)*AND(M696&lt;=M692)*AND(J696&lt;=J692),"Выполнено","ПРОВЕРИТЬ - избранных глав не может быть больше чем проведенных выборов глав)")</f>
        <v>Выполнено</v>
      </c>
      <c r="O696" s="76"/>
      <c r="P696" s="42"/>
    </row>
    <row r="697" spans="2:16" ht="30" x14ac:dyDescent="0.25">
      <c r="B697" s="107" t="s">
        <v>818</v>
      </c>
      <c r="C697" s="216" t="s">
        <v>1079</v>
      </c>
      <c r="D697" s="72">
        <f t="shared" si="190"/>
        <v>0</v>
      </c>
      <c r="E697" s="133">
        <f t="shared" ref="E697:M697" si="192">E698+E699</f>
        <v>0</v>
      </c>
      <c r="F697" s="133">
        <f t="shared" si="192"/>
        <v>0</v>
      </c>
      <c r="G697" s="133">
        <f t="shared" si="192"/>
        <v>0</v>
      </c>
      <c r="H697" s="133">
        <f t="shared" si="192"/>
        <v>0</v>
      </c>
      <c r="I697" s="133">
        <f t="shared" si="192"/>
        <v>0</v>
      </c>
      <c r="J697" s="133">
        <f>J698+J699</f>
        <v>0</v>
      </c>
      <c r="K697" s="133">
        <f t="shared" si="192"/>
        <v>0</v>
      </c>
      <c r="L697" s="133">
        <f t="shared" si="192"/>
        <v>0</v>
      </c>
      <c r="M697" s="133">
        <f t="shared" si="192"/>
        <v>0</v>
      </c>
      <c r="N697" s="30"/>
      <c r="O697" s="76"/>
      <c r="P697" s="48"/>
    </row>
    <row r="698" spans="2:16" x14ac:dyDescent="0.25">
      <c r="B698" s="108" t="s">
        <v>819</v>
      </c>
      <c r="C698" s="217" t="s">
        <v>494</v>
      </c>
      <c r="D698" s="72">
        <f t="shared" si="190"/>
        <v>0</v>
      </c>
      <c r="E698" s="135"/>
      <c r="F698" s="135"/>
      <c r="G698" s="135"/>
      <c r="H698" s="135"/>
      <c r="I698" s="135"/>
      <c r="J698" s="135"/>
      <c r="K698" s="135"/>
      <c r="L698" s="135"/>
      <c r="M698" s="135"/>
      <c r="N698" s="30"/>
      <c r="O698" s="79" t="str">
        <f>IF(((D698-F698-G698=0)),"   ","Нужно заполнить пункт 59 текстовой части - о референдумах и голосованиях")</f>
        <v xml:space="preserve">   </v>
      </c>
      <c r="P698" s="48"/>
    </row>
    <row r="699" spans="2:16" x14ac:dyDescent="0.25">
      <c r="B699" s="108" t="s">
        <v>820</v>
      </c>
      <c r="C699" s="217" t="s">
        <v>172</v>
      </c>
      <c r="D699" s="72">
        <f t="shared" si="190"/>
        <v>0</v>
      </c>
      <c r="E699" s="135"/>
      <c r="F699" s="135"/>
      <c r="G699" s="135"/>
      <c r="H699" s="135"/>
      <c r="I699" s="135"/>
      <c r="J699" s="135"/>
      <c r="K699" s="135"/>
      <c r="L699" s="135"/>
      <c r="M699" s="135"/>
      <c r="N699" s="30"/>
      <c r="O699" s="79" t="str">
        <f>IF(((D699=0)),"   ","Нужно заполнить пункт 59 текстовой части - о референдумах и голосованиях")</f>
        <v xml:space="preserve">   </v>
      </c>
      <c r="P699" s="48"/>
    </row>
    <row r="700" spans="2:16" ht="45" x14ac:dyDescent="0.25">
      <c r="B700" s="108" t="s">
        <v>490</v>
      </c>
      <c r="C700" s="217" t="s">
        <v>1080</v>
      </c>
      <c r="D700" s="72">
        <f t="shared" si="190"/>
        <v>0</v>
      </c>
      <c r="E700" s="135"/>
      <c r="F700" s="135"/>
      <c r="G700" s="135"/>
      <c r="H700" s="135"/>
      <c r="I700" s="135"/>
      <c r="J700" s="135"/>
      <c r="K700" s="135"/>
      <c r="L700" s="135"/>
      <c r="M700" s="135"/>
      <c r="N700" s="30"/>
      <c r="O700" s="79" t="str">
        <f>IF(((D700=0)),"   ","Нужно заполнить пункт 59 текстовой части - о референдумах и голосованиях")</f>
        <v xml:space="preserve">   </v>
      </c>
      <c r="P700" s="42"/>
    </row>
    <row r="701" spans="2:16" s="21" customFormat="1" ht="30" x14ac:dyDescent="0.25">
      <c r="B701" s="108" t="s">
        <v>821</v>
      </c>
      <c r="C701" s="217" t="s">
        <v>1081</v>
      </c>
      <c r="D701" s="72">
        <f t="shared" si="190"/>
        <v>0</v>
      </c>
      <c r="E701" s="135"/>
      <c r="F701" s="135"/>
      <c r="G701" s="135"/>
      <c r="H701" s="135"/>
      <c r="I701" s="135"/>
      <c r="J701" s="135"/>
      <c r="K701" s="135"/>
      <c r="L701" s="135"/>
      <c r="M701" s="135"/>
      <c r="N701" s="30"/>
      <c r="O701" s="79" t="str">
        <f>IF(((D701=0)),"   ","Нужно заполнить пункт 59 текстовой части - о референдумах и голосованиях")</f>
        <v xml:space="preserve">   </v>
      </c>
      <c r="P701" s="42"/>
    </row>
    <row r="702" spans="2:16" s="21" customFormat="1" x14ac:dyDescent="0.25">
      <c r="B702" s="112" t="s">
        <v>491</v>
      </c>
      <c r="C702" s="215" t="s">
        <v>358</v>
      </c>
      <c r="D702" s="55"/>
      <c r="E702" s="56"/>
      <c r="F702" s="56"/>
      <c r="G702" s="56"/>
      <c r="H702" s="56"/>
      <c r="I702" s="56"/>
      <c r="J702" s="56"/>
      <c r="K702" s="56"/>
      <c r="L702" s="56"/>
      <c r="M702" s="56"/>
      <c r="N702" s="33"/>
      <c r="O702" s="74"/>
      <c r="P702" s="42"/>
    </row>
    <row r="703" spans="2:16" s="21" customFormat="1" ht="45" x14ac:dyDescent="0.25">
      <c r="B703" s="107" t="s">
        <v>492</v>
      </c>
      <c r="C703" s="216" t="s">
        <v>234</v>
      </c>
      <c r="D703" s="72">
        <f t="shared" ref="D703:D706" si="193">F703+G703</f>
        <v>0</v>
      </c>
      <c r="E703" s="141"/>
      <c r="F703" s="133">
        <f>F257</f>
        <v>0</v>
      </c>
      <c r="G703" s="133">
        <f>G257</f>
        <v>0</v>
      </c>
      <c r="H703" s="138"/>
      <c r="I703" s="138"/>
      <c r="J703" s="140"/>
      <c r="K703" s="139"/>
      <c r="L703" s="139"/>
      <c r="M703" s="139"/>
      <c r="N703" s="30"/>
      <c r="O703" s="76"/>
      <c r="P703" s="42"/>
    </row>
    <row r="704" spans="2:16" ht="30" x14ac:dyDescent="0.25">
      <c r="B704" s="107" t="s">
        <v>822</v>
      </c>
      <c r="C704" s="216" t="s">
        <v>39</v>
      </c>
      <c r="D704" s="72">
        <f t="shared" si="193"/>
        <v>0</v>
      </c>
      <c r="E704" s="145"/>
      <c r="F704" s="133">
        <f>F318</f>
        <v>0</v>
      </c>
      <c r="G704" s="133">
        <f>G318</f>
        <v>0</v>
      </c>
      <c r="H704" s="142"/>
      <c r="I704" s="142"/>
      <c r="J704" s="144"/>
      <c r="K704" s="143"/>
      <c r="L704" s="143"/>
      <c r="M704" s="143"/>
      <c r="N704" s="30"/>
      <c r="O704" s="76"/>
      <c r="P704" s="42"/>
    </row>
    <row r="705" spans="2:16" s="21" customFormat="1" ht="30" x14ac:dyDescent="0.25">
      <c r="B705" s="109" t="s">
        <v>823</v>
      </c>
      <c r="C705" s="216" t="s">
        <v>1082</v>
      </c>
      <c r="D705" s="72">
        <f t="shared" ref="D705" si="194">SUM(E705:I705)+SUM(K705:M705)</f>
        <v>1</v>
      </c>
      <c r="E705" s="133">
        <f t="shared" ref="E705:M705" si="195">SUM(E706:E713)</f>
        <v>0</v>
      </c>
      <c r="F705" s="133">
        <f t="shared" si="195"/>
        <v>0</v>
      </c>
      <c r="G705" s="133">
        <f t="shared" si="195"/>
        <v>1</v>
      </c>
      <c r="H705" s="133">
        <f t="shared" si="195"/>
        <v>0</v>
      </c>
      <c r="I705" s="133">
        <f t="shared" si="195"/>
        <v>0</v>
      </c>
      <c r="J705" s="133">
        <f>SUM(J706:J713)</f>
        <v>0</v>
      </c>
      <c r="K705" s="133">
        <f t="shared" si="195"/>
        <v>0</v>
      </c>
      <c r="L705" s="133">
        <f t="shared" si="195"/>
        <v>0</v>
      </c>
      <c r="M705" s="133">
        <f t="shared" si="195"/>
        <v>0</v>
      </c>
      <c r="N705" s="30"/>
      <c r="O705" s="76"/>
      <c r="P705" s="42"/>
    </row>
    <row r="706" spans="2:16" s="21" customFormat="1" ht="30" x14ac:dyDescent="0.25">
      <c r="B706" s="109" t="s">
        <v>824</v>
      </c>
      <c r="C706" s="216" t="s">
        <v>173</v>
      </c>
      <c r="D706" s="72">
        <f t="shared" si="193"/>
        <v>0</v>
      </c>
      <c r="E706" s="133"/>
      <c r="F706" s="134"/>
      <c r="G706" s="134"/>
      <c r="H706" s="146"/>
      <c r="I706" s="146"/>
      <c r="J706" s="154"/>
      <c r="K706" s="147"/>
      <c r="L706" s="147"/>
      <c r="M706" s="147"/>
      <c r="N706" s="30"/>
      <c r="O706" s="76"/>
      <c r="P706" s="42"/>
    </row>
    <row r="707" spans="2:16" s="21" customFormat="1" ht="30" x14ac:dyDescent="0.25">
      <c r="B707" s="109" t="s">
        <v>825</v>
      </c>
      <c r="C707" s="216" t="s">
        <v>174</v>
      </c>
      <c r="D707" s="72">
        <f t="shared" ref="D707:D733" si="196">SUM(E707:I707)+SUM(K707:M707)</f>
        <v>0</v>
      </c>
      <c r="E707" s="52"/>
      <c r="F707" s="52"/>
      <c r="G707" s="52"/>
      <c r="H707" s="134"/>
      <c r="I707" s="134"/>
      <c r="J707" s="134"/>
      <c r="K707" s="134"/>
      <c r="L707" s="134"/>
      <c r="M707" s="134"/>
      <c r="N707" s="30"/>
      <c r="O707" s="76"/>
      <c r="P707" s="42"/>
    </row>
    <row r="708" spans="2:16" s="73" customFormat="1" ht="30" x14ac:dyDescent="0.25">
      <c r="B708" s="109" t="s">
        <v>826</v>
      </c>
      <c r="C708" s="216" t="s">
        <v>976</v>
      </c>
      <c r="D708" s="72">
        <f t="shared" si="196"/>
        <v>0</v>
      </c>
      <c r="E708" s="52"/>
      <c r="F708" s="52"/>
      <c r="G708" s="52"/>
      <c r="H708" s="134"/>
      <c r="I708" s="134"/>
      <c r="J708" s="134"/>
      <c r="K708" s="134"/>
      <c r="L708" s="134"/>
      <c r="M708" s="134"/>
      <c r="N708" s="76"/>
      <c r="O708" s="76"/>
      <c r="P708" s="42"/>
    </row>
    <row r="709" spans="2:16" s="21" customFormat="1" x14ac:dyDescent="0.25">
      <c r="B709" s="109" t="s">
        <v>974</v>
      </c>
      <c r="C709" s="216" t="s">
        <v>357</v>
      </c>
      <c r="D709" s="72">
        <f t="shared" si="196"/>
        <v>0</v>
      </c>
      <c r="E709" s="52"/>
      <c r="F709" s="52"/>
      <c r="G709" s="52"/>
      <c r="H709" s="134"/>
      <c r="I709" s="134"/>
      <c r="J709" s="134"/>
      <c r="K709" s="134"/>
      <c r="L709" s="134"/>
      <c r="M709" s="134"/>
      <c r="N709" s="30"/>
      <c r="O709" s="76"/>
      <c r="P709" s="42"/>
    </row>
    <row r="710" spans="2:16" s="73" customFormat="1" ht="30" x14ac:dyDescent="0.25">
      <c r="B710" s="109" t="s">
        <v>827</v>
      </c>
      <c r="C710" s="216" t="s">
        <v>975</v>
      </c>
      <c r="D710" s="72">
        <f t="shared" si="196"/>
        <v>1</v>
      </c>
      <c r="E710" s="52"/>
      <c r="F710" s="52"/>
      <c r="G710" s="52">
        <v>1</v>
      </c>
      <c r="H710" s="134"/>
      <c r="I710" s="134"/>
      <c r="J710" s="134"/>
      <c r="K710" s="134"/>
      <c r="L710" s="134"/>
      <c r="M710" s="134"/>
      <c r="N710" s="76"/>
      <c r="O710" s="76"/>
      <c r="P710" s="42"/>
    </row>
    <row r="711" spans="2:16" s="21" customFormat="1" ht="30" x14ac:dyDescent="0.25">
      <c r="B711" s="109" t="s">
        <v>977</v>
      </c>
      <c r="C711" s="216" t="s">
        <v>972</v>
      </c>
      <c r="D711" s="72">
        <f t="shared" si="196"/>
        <v>0</v>
      </c>
      <c r="E711" s="52"/>
      <c r="F711" s="52"/>
      <c r="G711" s="52"/>
      <c r="H711" s="134"/>
      <c r="I711" s="134"/>
      <c r="J711" s="134"/>
      <c r="K711" s="134"/>
      <c r="L711" s="134"/>
      <c r="M711" s="134"/>
      <c r="N711" s="30"/>
      <c r="O711" s="76"/>
      <c r="P711" s="42"/>
    </row>
    <row r="712" spans="2:16" s="73" customFormat="1" ht="30" x14ac:dyDescent="0.25">
      <c r="B712" s="109" t="s">
        <v>973</v>
      </c>
      <c r="C712" s="216" t="s">
        <v>979</v>
      </c>
      <c r="D712" s="72">
        <f t="shared" si="196"/>
        <v>0</v>
      </c>
      <c r="E712" s="52"/>
      <c r="F712" s="52"/>
      <c r="G712" s="52"/>
      <c r="H712" s="134"/>
      <c r="I712" s="134"/>
      <c r="J712" s="134"/>
      <c r="K712" s="134"/>
      <c r="L712" s="134"/>
      <c r="M712" s="134"/>
      <c r="N712" s="76"/>
      <c r="O712" s="76"/>
      <c r="P712" s="42"/>
    </row>
    <row r="713" spans="2:16" s="21" customFormat="1" ht="45" x14ac:dyDescent="0.25">
      <c r="B713" s="109" t="s">
        <v>978</v>
      </c>
      <c r="C713" s="216" t="s">
        <v>1453</v>
      </c>
      <c r="D713" s="72">
        <f t="shared" si="196"/>
        <v>0</v>
      </c>
      <c r="E713" s="52"/>
      <c r="F713" s="52"/>
      <c r="G713" s="52"/>
      <c r="H713" s="134"/>
      <c r="I713" s="134"/>
      <c r="J713" s="134"/>
      <c r="K713" s="134"/>
      <c r="L713" s="134"/>
      <c r="M713" s="134"/>
      <c r="N713" s="30"/>
      <c r="O713" s="79" t="str">
        <f>IF(((D713=0)),"   ","Подсказка - имеются в виду случаи, когда организаторы именуют сходами мероприятия по вопросам, выходящим за предмет ст.25 и ст.25.1 Федерального закона № 131-ФЗ, как правило в таких случаях следовало проводить собрания")</f>
        <v xml:space="preserve">   </v>
      </c>
      <c r="P713" s="42"/>
    </row>
    <row r="714" spans="2:16" s="21" customFormat="1" ht="30" x14ac:dyDescent="0.25">
      <c r="B714" s="109" t="s">
        <v>980</v>
      </c>
      <c r="C714" s="216" t="s">
        <v>1083</v>
      </c>
      <c r="D714" s="72">
        <f t="shared" si="196"/>
        <v>0</v>
      </c>
      <c r="E714" s="52"/>
      <c r="F714" s="52"/>
      <c r="G714" s="52"/>
      <c r="H714" s="134"/>
      <c r="I714" s="134"/>
      <c r="J714" s="134"/>
      <c r="K714" s="134"/>
      <c r="L714" s="134"/>
      <c r="M714" s="134"/>
      <c r="N714" s="37" t="str">
        <f>IF((D714&lt;=D705)*AND(E714&lt;=E705)*AND(F714&lt;=F705)*AND(G714&lt;=G705)*AND(H714&lt;=H705)*AND(I714&lt;=I705)*AND(K714&lt;=K705)*AND(L714&lt;=L705)*AND(M714&lt;=M705)*AND(J714&lt;=J705),"Выполнено","ПРОВЕРИТЬ (таких сходов не может быть больше чем сходов всего)
)")</f>
        <v>Выполнено</v>
      </c>
      <c r="O714" s="76"/>
      <c r="P714" s="42"/>
    </row>
    <row r="715" spans="2:16" ht="30" x14ac:dyDescent="0.25">
      <c r="B715" s="112" t="s">
        <v>828</v>
      </c>
      <c r="C715" s="215" t="s">
        <v>359</v>
      </c>
      <c r="D715" s="55"/>
      <c r="E715" s="56"/>
      <c r="F715" s="56"/>
      <c r="G715" s="56"/>
      <c r="H715" s="56"/>
      <c r="I715" s="56"/>
      <c r="J715" s="56"/>
      <c r="K715" s="56"/>
      <c r="L715" s="56"/>
      <c r="M715" s="56"/>
      <c r="N715" s="33"/>
      <c r="O715" s="74"/>
      <c r="P715" s="48"/>
    </row>
    <row r="716" spans="2:16" ht="45" x14ac:dyDescent="0.25">
      <c r="B716" s="109" t="s">
        <v>493</v>
      </c>
      <c r="C716" s="216" t="s">
        <v>1084</v>
      </c>
      <c r="D716" s="72">
        <f t="shared" si="196"/>
        <v>0</v>
      </c>
      <c r="E716" s="52"/>
      <c r="F716" s="52"/>
      <c r="G716" s="52"/>
      <c r="H716" s="52"/>
      <c r="I716" s="52"/>
      <c r="J716" s="52"/>
      <c r="K716" s="134"/>
      <c r="L716" s="134"/>
      <c r="M716" s="134"/>
      <c r="N716" s="29"/>
      <c r="O716" s="29"/>
      <c r="P716" s="42"/>
    </row>
    <row r="717" spans="2:16" ht="30" x14ac:dyDescent="0.25">
      <c r="B717" s="109" t="s">
        <v>520</v>
      </c>
      <c r="C717" s="216" t="s">
        <v>1085</v>
      </c>
      <c r="D717" s="72">
        <f t="shared" si="196"/>
        <v>0</v>
      </c>
      <c r="E717" s="52"/>
      <c r="F717" s="52"/>
      <c r="G717" s="52"/>
      <c r="H717" s="52"/>
      <c r="I717" s="52"/>
      <c r="J717" s="52"/>
      <c r="K717" s="134"/>
      <c r="L717" s="134"/>
      <c r="M717" s="134"/>
      <c r="N717" s="29"/>
      <c r="O717" s="29"/>
      <c r="P717" s="48"/>
    </row>
    <row r="718" spans="2:16" x14ac:dyDescent="0.25">
      <c r="B718" s="109" t="s">
        <v>523</v>
      </c>
      <c r="C718" s="216" t="s">
        <v>1086</v>
      </c>
      <c r="D718" s="72">
        <f t="shared" si="196"/>
        <v>2</v>
      </c>
      <c r="E718" s="52"/>
      <c r="F718" s="52"/>
      <c r="G718" s="52">
        <v>2</v>
      </c>
      <c r="H718" s="52"/>
      <c r="I718" s="52"/>
      <c r="J718" s="52"/>
      <c r="K718" s="134"/>
      <c r="L718" s="134"/>
      <c r="M718" s="134"/>
      <c r="N718" s="29"/>
      <c r="O718" s="29"/>
      <c r="P718" s="48"/>
    </row>
    <row r="719" spans="2:16" x14ac:dyDescent="0.25">
      <c r="B719" s="109" t="s">
        <v>524</v>
      </c>
      <c r="C719" s="216" t="s">
        <v>1087</v>
      </c>
      <c r="D719" s="72">
        <f t="shared" si="196"/>
        <v>0</v>
      </c>
      <c r="E719" s="52"/>
      <c r="F719" s="52"/>
      <c r="G719" s="52"/>
      <c r="H719" s="52"/>
      <c r="I719" s="52"/>
      <c r="J719" s="52"/>
      <c r="K719" s="134"/>
      <c r="L719" s="134"/>
      <c r="M719" s="134"/>
      <c r="N719" s="29"/>
      <c r="O719" s="29"/>
      <c r="P719" s="42"/>
    </row>
    <row r="720" spans="2:16" ht="45" x14ac:dyDescent="0.25">
      <c r="B720" s="108" t="s">
        <v>829</v>
      </c>
      <c r="C720" s="217" t="s">
        <v>1088</v>
      </c>
      <c r="D720" s="72">
        <f t="shared" si="196"/>
        <v>0</v>
      </c>
      <c r="E720" s="53"/>
      <c r="F720" s="53"/>
      <c r="G720" s="53"/>
      <c r="H720" s="53"/>
      <c r="I720" s="53"/>
      <c r="J720" s="53"/>
      <c r="K720" s="135"/>
      <c r="L720" s="135"/>
      <c r="M720" s="135"/>
      <c r="N720" s="29"/>
      <c r="O720" s="79" t="str">
        <f>IF(((D720=0)),"   ","Нужно заполнить пункт 60 текстовой части - о проведенных опросах граждан")</f>
        <v xml:space="preserve">   </v>
      </c>
      <c r="P720" s="48"/>
    </row>
    <row r="721" spans="2:16" x14ac:dyDescent="0.25">
      <c r="B721" s="112" t="s">
        <v>24</v>
      </c>
      <c r="C721" s="215" t="s">
        <v>29</v>
      </c>
      <c r="D721" s="55"/>
      <c r="E721" s="56"/>
      <c r="F721" s="56"/>
      <c r="G721" s="56"/>
      <c r="H721" s="56"/>
      <c r="I721" s="56"/>
      <c r="J721" s="56"/>
      <c r="K721" s="56"/>
      <c r="L721" s="56"/>
      <c r="M721" s="56"/>
      <c r="N721" s="33"/>
      <c r="O721" s="74"/>
      <c r="P721" s="48"/>
    </row>
    <row r="722" spans="2:16" x14ac:dyDescent="0.25">
      <c r="B722" s="109" t="s">
        <v>830</v>
      </c>
      <c r="C722" s="216" t="s">
        <v>1089</v>
      </c>
      <c r="D722" s="72">
        <f t="shared" si="196"/>
        <v>0</v>
      </c>
      <c r="E722" s="52"/>
      <c r="F722" s="52"/>
      <c r="G722" s="52"/>
      <c r="H722" s="136"/>
      <c r="I722" s="136"/>
      <c r="J722" s="134"/>
      <c r="K722" s="136"/>
      <c r="L722" s="136"/>
      <c r="M722" s="136"/>
      <c r="N722" s="30"/>
      <c r="O722" s="76"/>
      <c r="P722" s="48"/>
    </row>
    <row r="723" spans="2:16" x14ac:dyDescent="0.25">
      <c r="B723" s="108" t="s">
        <v>235</v>
      </c>
      <c r="C723" s="217" t="s">
        <v>1090</v>
      </c>
      <c r="D723" s="72">
        <f t="shared" si="196"/>
        <v>0</v>
      </c>
      <c r="E723" s="53"/>
      <c r="F723" s="53"/>
      <c r="G723" s="53"/>
      <c r="H723" s="135"/>
      <c r="I723" s="135"/>
      <c r="J723" s="135"/>
      <c r="K723" s="135"/>
      <c r="L723" s="135"/>
      <c r="M723" s="135"/>
      <c r="N723" s="30"/>
      <c r="O723" s="79" t="str">
        <f>IF(((D723=0)),"   ","Нужно заполнить пункт 61 текстовой части - о рассмотренных и реализованных гражданских правотворческих инициативах")</f>
        <v xml:space="preserve">   </v>
      </c>
      <c r="P723" s="42"/>
    </row>
    <row r="724" spans="2:16" s="21" customFormat="1" ht="30" x14ac:dyDescent="0.25">
      <c r="B724" s="108" t="s">
        <v>831</v>
      </c>
      <c r="C724" s="217" t="s">
        <v>1091</v>
      </c>
      <c r="D724" s="72">
        <f t="shared" si="196"/>
        <v>0</v>
      </c>
      <c r="E724" s="53"/>
      <c r="F724" s="53"/>
      <c r="G724" s="53"/>
      <c r="H724" s="135"/>
      <c r="I724" s="135"/>
      <c r="J724" s="135"/>
      <c r="K724" s="135"/>
      <c r="L724" s="135"/>
      <c r="M724" s="135"/>
      <c r="N724" s="76"/>
      <c r="O724" s="79" t="str">
        <f>IF(((D724=0)),"   ","Нужно заполнить пункт 61 текстовой части - о рассмотренных и реализованных гражданских правотворческих инициативах")</f>
        <v xml:space="preserve">   </v>
      </c>
      <c r="P724" s="42"/>
    </row>
    <row r="725" spans="2:16" s="21" customFormat="1" ht="30" x14ac:dyDescent="0.25">
      <c r="B725" s="112" t="s">
        <v>185</v>
      </c>
      <c r="C725" s="215" t="s">
        <v>306</v>
      </c>
      <c r="D725" s="55"/>
      <c r="E725" s="56"/>
      <c r="F725" s="56"/>
      <c r="G725" s="56"/>
      <c r="H725" s="56"/>
      <c r="I725" s="56"/>
      <c r="J725" s="56"/>
      <c r="K725" s="56"/>
      <c r="L725" s="56"/>
      <c r="M725" s="56"/>
      <c r="N725" s="33"/>
      <c r="O725" s="74"/>
      <c r="P725" s="42"/>
    </row>
    <row r="726" spans="2:16" s="21" customFormat="1" ht="75" x14ac:dyDescent="0.25">
      <c r="B726" s="109" t="s">
        <v>184</v>
      </c>
      <c r="C726" s="216" t="s">
        <v>1454</v>
      </c>
      <c r="D726" s="72">
        <f t="shared" si="196"/>
        <v>0</v>
      </c>
      <c r="E726" s="52"/>
      <c r="F726" s="52"/>
      <c r="G726" s="52"/>
      <c r="H726" s="52"/>
      <c r="I726" s="52"/>
      <c r="J726" s="52"/>
      <c r="K726" s="136"/>
      <c r="L726" s="136"/>
      <c r="M726" s="136"/>
      <c r="N726" s="37" t="str">
        <f>IF((D726&lt;=D$10)*AND(E726&lt;=E$10)*AND(F726&lt;=F$10)*AND(G726&lt;=G$10)*AND(H726&lt;=H$10)*AND(I726&lt;=I$10)*AND(K726&lt;=K$10)*AND(L726&lt;=L$10)*AND(M726&lt;=M$10)*AND(J726&lt;=J$10),"Выполнено","ПРОВЕРИТЬ (таких муниципальных образований не может быть больше их общего числа)")</f>
        <v>Выполнено</v>
      </c>
      <c r="O726" s="75"/>
      <c r="P726" s="42"/>
    </row>
    <row r="727" spans="2:16" ht="30" x14ac:dyDescent="0.25">
      <c r="B727" s="109" t="s">
        <v>186</v>
      </c>
      <c r="C727" s="216" t="s">
        <v>514</v>
      </c>
      <c r="D727" s="72">
        <f t="shared" si="196"/>
        <v>0</v>
      </c>
      <c r="E727" s="52"/>
      <c r="F727" s="52"/>
      <c r="G727" s="52"/>
      <c r="H727" s="52"/>
      <c r="I727" s="52"/>
      <c r="J727" s="52"/>
      <c r="K727" s="136"/>
      <c r="L727" s="136"/>
      <c r="M727" s="136"/>
      <c r="N727" s="28"/>
      <c r="O727" s="75"/>
      <c r="P727" s="42"/>
    </row>
    <row r="728" spans="2:16" s="21" customFormat="1" ht="30" x14ac:dyDescent="0.25">
      <c r="B728" s="109" t="s">
        <v>187</v>
      </c>
      <c r="C728" s="216" t="s">
        <v>513</v>
      </c>
      <c r="D728" s="72">
        <f t="shared" si="196"/>
        <v>0</v>
      </c>
      <c r="E728" s="52"/>
      <c r="F728" s="52"/>
      <c r="G728" s="52"/>
      <c r="H728" s="52"/>
      <c r="I728" s="52"/>
      <c r="J728" s="52"/>
      <c r="K728" s="136"/>
      <c r="L728" s="136"/>
      <c r="M728" s="136"/>
      <c r="N728" s="75"/>
      <c r="O728" s="75"/>
      <c r="P728" s="42"/>
    </row>
    <row r="729" spans="2:16" s="21" customFormat="1" ht="60" x14ac:dyDescent="0.25">
      <c r="B729" s="109" t="s">
        <v>360</v>
      </c>
      <c r="C729" s="216" t="s">
        <v>364</v>
      </c>
      <c r="D729" s="72">
        <f t="shared" si="196"/>
        <v>0</v>
      </c>
      <c r="E729" s="52"/>
      <c r="F729" s="52"/>
      <c r="G729" s="52"/>
      <c r="H729" s="52"/>
      <c r="I729" s="52"/>
      <c r="J729" s="52"/>
      <c r="K729" s="136"/>
      <c r="L729" s="136"/>
      <c r="M729" s="136"/>
      <c r="N729" s="37" t="str">
        <f>IF((D729&gt;=D728)*AND(E729&gt;=E728)*AND(F729&gt;=F728)*AND(G729&gt;=G728)*AND(H729&gt;=H728)*AND(I729&gt;=I728)*AND(K729&gt;=K728)*AND(L729&gt;=L728)*AND(M729&gt;=M728)*AND(J729&gt;=J728),"Выполнено","ПРОВЕРИТЬ (количество членов общественных палат и советов, как правило, в разы больше количества самих общественных палат и советов)")</f>
        <v>Выполнено</v>
      </c>
      <c r="O729" s="75"/>
      <c r="P729" s="42"/>
    </row>
    <row r="730" spans="2:16" s="21" customFormat="1" x14ac:dyDescent="0.25">
      <c r="B730" s="112" t="s">
        <v>26</v>
      </c>
      <c r="C730" s="215" t="s">
        <v>8</v>
      </c>
      <c r="D730" s="55"/>
      <c r="E730" s="56"/>
      <c r="F730" s="56"/>
      <c r="G730" s="56"/>
      <c r="H730" s="56"/>
      <c r="I730" s="56"/>
      <c r="J730" s="56"/>
      <c r="K730" s="56"/>
      <c r="L730" s="56"/>
      <c r="M730" s="56"/>
      <c r="N730" s="33"/>
      <c r="O730" s="74"/>
      <c r="P730" s="42"/>
    </row>
    <row r="731" spans="2:16" s="21" customFormat="1" ht="60" x14ac:dyDescent="0.25">
      <c r="B731" s="109" t="s">
        <v>832</v>
      </c>
      <c r="C731" s="216" t="s">
        <v>1455</v>
      </c>
      <c r="D731" s="72">
        <f t="shared" si="196"/>
        <v>0</v>
      </c>
      <c r="E731" s="162"/>
      <c r="F731" s="162"/>
      <c r="G731" s="162"/>
      <c r="H731" s="162"/>
      <c r="I731" s="162"/>
      <c r="J731" s="162"/>
      <c r="K731" s="162"/>
      <c r="L731" s="162"/>
      <c r="M731" s="162"/>
      <c r="N731" s="37" t="str">
        <f>IF((D731&lt;=D$10)*AND(E731&lt;=E$10)*AND(F731&lt;=F$10)*AND(G731&lt;=G$10)*AND(H731&lt;=H$10)*AND(I731&lt;=I$10)*AND(K731&lt;=K$10)*AND(L731&lt;=L$10)*AND(M731&lt;=M$10)*AND(J731&lt;=J$10),"Выполнено","ПРОВЕРИТЬ (таких муниципальных образований не может быть больше их общего числа)")</f>
        <v>Выполнено</v>
      </c>
      <c r="O731" s="79" t="str">
        <f>IF((E731&gt;=((F731+G731)/3000))*AND(K731&gt;=(L731/100)),"   ","Подсказка - если есть поселения с ТОСами, значит есть и районы с ТОСами, то же верно и для гор.округов с делением")</f>
        <v xml:space="preserve">   </v>
      </c>
      <c r="P731" s="42"/>
    </row>
    <row r="732" spans="2:16" s="21" customFormat="1" ht="60" x14ac:dyDescent="0.25">
      <c r="B732" s="109" t="s">
        <v>833</v>
      </c>
      <c r="C732" s="216" t="s">
        <v>366</v>
      </c>
      <c r="D732" s="72">
        <f t="shared" si="196"/>
        <v>0</v>
      </c>
      <c r="E732" s="162"/>
      <c r="F732" s="162"/>
      <c r="G732" s="162"/>
      <c r="H732" s="162"/>
      <c r="I732" s="162"/>
      <c r="J732" s="162"/>
      <c r="K732" s="162"/>
      <c r="L732" s="162"/>
      <c r="M732" s="162"/>
      <c r="N732" s="74"/>
      <c r="O732" s="79" t="str">
        <f>IF(((D732&lt;=D731)*AND(E732&lt;=E731)*AND(F732&lt;=F731)*AND(G732&lt;=G731)*AND(H732&lt;=H731)*AND(I732&lt;=I731)*AND(K732&lt;=K731)*AND(L732&lt;=L731)*AND(M732&lt;=M731)*AND(J732&lt;=J731)),"   ","Подсказка - ТОСов со статусом юридических лиц обычно меньше чем всех ТОСов")</f>
        <v xml:space="preserve">   </v>
      </c>
      <c r="P732" s="42"/>
    </row>
    <row r="733" spans="2:16" s="21" customFormat="1" ht="45" x14ac:dyDescent="0.25">
      <c r="B733" s="108" t="s">
        <v>362</v>
      </c>
      <c r="C733" s="217" t="s">
        <v>1092</v>
      </c>
      <c r="D733" s="72">
        <f t="shared" si="196"/>
        <v>0</v>
      </c>
      <c r="E733" s="135"/>
      <c r="F733" s="135"/>
      <c r="G733" s="135"/>
      <c r="H733" s="135"/>
      <c r="I733" s="135"/>
      <c r="J733" s="135"/>
      <c r="K733" s="135"/>
      <c r="L733" s="135"/>
      <c r="M733" s="135"/>
      <c r="N733" s="37" t="str">
        <f>IF((D733&lt;=D140)*AND(E733&lt;=E140)*AND(F733&lt;=F140)*AND(G733&lt;=G140)*AND(H733&lt;=H140)*AND(I733&lt;=I140)*AND(K733&lt;=K140)*AND(L733&lt;=L140)*AND(M733&lt;=M140)*AND(J733&lt;=J140),"Выполнено","ПРОВЕРИТЬ (таких муниципальных образований не может быть больше  числа муниципальных образований - участников бюджетного процесса)")</f>
        <v>Выполнено</v>
      </c>
      <c r="O733" s="79" t="str">
        <f>IF(((D733=0)),"   ","Нужно заполнить пункт 62 текстовой части - о ТОСах, использующих бюджетные средства по соглашениям с муниципалитетами")</f>
        <v xml:space="preserve">   </v>
      </c>
      <c r="P733" s="42"/>
    </row>
    <row r="734" spans="2:16" s="21" customFormat="1" ht="45" x14ac:dyDescent="0.25">
      <c r="B734" s="109" t="s">
        <v>363</v>
      </c>
      <c r="C734" s="216" t="s">
        <v>1456</v>
      </c>
      <c r="D734" s="72">
        <f>SUM(D735:D737)</f>
        <v>0</v>
      </c>
      <c r="E734" s="147"/>
      <c r="F734" s="147"/>
      <c r="G734" s="147"/>
      <c r="H734" s="147"/>
      <c r="I734" s="147"/>
      <c r="J734" s="147"/>
      <c r="K734" s="147"/>
      <c r="L734" s="147"/>
      <c r="M734" s="147"/>
      <c r="N734" s="28"/>
      <c r="O734" s="74"/>
      <c r="P734" s="42"/>
    </row>
    <row r="735" spans="2:16" ht="30" x14ac:dyDescent="0.25">
      <c r="B735" s="109" t="s">
        <v>834</v>
      </c>
      <c r="C735" s="212" t="s">
        <v>551</v>
      </c>
      <c r="D735" s="72">
        <f>SUM(F735:I735)</f>
        <v>0</v>
      </c>
      <c r="E735" s="153"/>
      <c r="F735" s="134"/>
      <c r="G735" s="134"/>
      <c r="H735" s="134"/>
      <c r="I735" s="134"/>
      <c r="J735" s="134"/>
      <c r="K735" s="147"/>
      <c r="L735" s="147"/>
      <c r="M735" s="147"/>
      <c r="N735" s="37" t="str">
        <f>IF((F735&gt;=F731)*AND(G735&gt;=G731)*AND(H735&gt;=H731)*AND(I735&gt;=I731),"Выполнено","ПРОВЕРИТЬ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735" s="74"/>
      <c r="P735" s="48"/>
    </row>
    <row r="736" spans="2:16" x14ac:dyDescent="0.25">
      <c r="B736" s="109" t="s">
        <v>835</v>
      </c>
      <c r="C736" s="216" t="s">
        <v>552</v>
      </c>
      <c r="D736" s="72">
        <f>E736</f>
        <v>0</v>
      </c>
      <c r="E736" s="134"/>
      <c r="F736" s="147"/>
      <c r="G736" s="147"/>
      <c r="H736" s="147"/>
      <c r="I736" s="147"/>
      <c r="J736" s="160"/>
      <c r="K736" s="147"/>
      <c r="L736" s="147"/>
      <c r="M736" s="147"/>
      <c r="N736" s="75"/>
      <c r="O736" s="74"/>
      <c r="P736" s="42"/>
    </row>
    <row r="737" spans="2:16" ht="45" x14ac:dyDescent="0.25">
      <c r="B737" s="109" t="s">
        <v>836</v>
      </c>
      <c r="C737" s="216" t="s">
        <v>556</v>
      </c>
      <c r="D737" s="72">
        <f>L737+M737</f>
        <v>0</v>
      </c>
      <c r="E737" s="147"/>
      <c r="F737" s="147"/>
      <c r="G737" s="147"/>
      <c r="H737" s="147"/>
      <c r="I737" s="147"/>
      <c r="J737" s="147"/>
      <c r="K737" s="147"/>
      <c r="L737" s="136"/>
      <c r="M737" s="136"/>
      <c r="N737" s="37" t="str">
        <f>IF((L737&gt;=L731)*AND(M737&gt;=M731),"Выполнено","ПРОВЕРИТЬ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737" s="74"/>
      <c r="P737" s="48"/>
    </row>
    <row r="738" spans="2:16" ht="30" x14ac:dyDescent="0.25">
      <c r="B738" s="109" t="s">
        <v>837</v>
      </c>
      <c r="C738" s="216" t="s">
        <v>367</v>
      </c>
      <c r="D738" s="72">
        <f>SUM(D739:D741)</f>
        <v>0</v>
      </c>
      <c r="E738" s="147"/>
      <c r="F738" s="147"/>
      <c r="G738" s="147"/>
      <c r="H738" s="147"/>
      <c r="I738" s="147"/>
      <c r="J738" s="147"/>
      <c r="K738" s="147"/>
      <c r="L738" s="147"/>
      <c r="M738" s="147"/>
      <c r="N738" s="28"/>
      <c r="O738" s="74"/>
      <c r="P738" s="48"/>
    </row>
    <row r="739" spans="2:16" ht="30" x14ac:dyDescent="0.25">
      <c r="B739" s="109" t="s">
        <v>838</v>
      </c>
      <c r="C739" s="212" t="s">
        <v>551</v>
      </c>
      <c r="D739" s="72">
        <f>SUM(F739:I739)</f>
        <v>0</v>
      </c>
      <c r="E739" s="153"/>
      <c r="F739" s="134"/>
      <c r="G739" s="134"/>
      <c r="H739" s="134"/>
      <c r="I739" s="134"/>
      <c r="J739" s="134"/>
      <c r="K739" s="147"/>
      <c r="L739" s="147"/>
      <c r="M739" s="147"/>
      <c r="N739" s="37" t="str">
        <f>IF((F739&gt;=F732)*AND(G739&gt;=G732)*AND(H739&gt;=H732)*AND(I739&gt;=I732),"Выполнено","ПРОВЕРИТЬ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739" s="74"/>
      <c r="P739" s="42"/>
    </row>
    <row r="740" spans="2:16" x14ac:dyDescent="0.25">
      <c r="B740" s="109" t="s">
        <v>839</v>
      </c>
      <c r="C740" s="216" t="s">
        <v>552</v>
      </c>
      <c r="D740" s="72">
        <f>E740</f>
        <v>0</v>
      </c>
      <c r="E740" s="134"/>
      <c r="F740" s="147"/>
      <c r="G740" s="147"/>
      <c r="H740" s="147"/>
      <c r="I740" s="147"/>
      <c r="J740" s="160"/>
      <c r="K740" s="147"/>
      <c r="L740" s="147"/>
      <c r="M740" s="147"/>
      <c r="N740" s="75"/>
      <c r="O740" s="74"/>
      <c r="P740" s="48"/>
    </row>
    <row r="741" spans="2:16" ht="45" x14ac:dyDescent="0.25">
      <c r="B741" s="109" t="s">
        <v>840</v>
      </c>
      <c r="C741" s="216" t="s">
        <v>556</v>
      </c>
      <c r="D741" s="72">
        <f>L741+M741</f>
        <v>0</v>
      </c>
      <c r="E741" s="147"/>
      <c r="F741" s="147"/>
      <c r="G741" s="147"/>
      <c r="H741" s="147"/>
      <c r="I741" s="147"/>
      <c r="J741" s="147"/>
      <c r="K741" s="147"/>
      <c r="L741" s="136"/>
      <c r="M741" s="136"/>
      <c r="N741" s="37" t="str">
        <f>IF((L741&gt;=L732)*AND(M741&gt;=M732),"Выполнено","ПРОВЕРИТЬ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741" s="74"/>
      <c r="P741" s="48"/>
    </row>
    <row r="742" spans="2:16" ht="60" x14ac:dyDescent="0.25">
      <c r="B742" s="108" t="s">
        <v>369</v>
      </c>
      <c r="C742" s="217" t="s">
        <v>576</v>
      </c>
      <c r="D742" s="72">
        <f t="shared" ref="D742:D743" si="197">SUM(E742:I742)+SUM(K742:M742)</f>
        <v>0</v>
      </c>
      <c r="E742" s="135"/>
      <c r="F742" s="135"/>
      <c r="G742" s="135"/>
      <c r="H742" s="135"/>
      <c r="I742" s="135"/>
      <c r="J742" s="135"/>
      <c r="K742" s="135"/>
      <c r="L742" s="135"/>
      <c r="M742" s="135"/>
      <c r="N742" s="37" t="str">
        <f>IF((D742&lt;=D731)*AND(E742&lt;=E731)*AND(F742&lt;=F731)*AND(G742&lt;=G731)*AND(H742&lt;=H731)*AND(I742&lt;=I731)*AND(K742&lt;=K731)*AND(L742&lt;=L731)*AND(M742&lt;=M731)*AND(J742&lt;=J731),"Выполнено","ПРОВЕРИТЬ (таких муниципальных образований не может быть больше  числа муниципальных образований с ТОСами)")</f>
        <v>Выполнено</v>
      </c>
      <c r="O742" s="79" t="str">
        <f>IF(((D742=0)),"   ","Нужно заполнить пункт 62 текстовой части - о ТОСах, использующих бюджетные средства по соглашениям с муниципалитетами")</f>
        <v xml:space="preserve">   </v>
      </c>
      <c r="P742" s="48"/>
    </row>
    <row r="743" spans="2:16" ht="45" x14ac:dyDescent="0.25">
      <c r="B743" s="107" t="s">
        <v>841</v>
      </c>
      <c r="C743" s="216" t="s">
        <v>183</v>
      </c>
      <c r="D743" s="72">
        <f t="shared" si="197"/>
        <v>0</v>
      </c>
      <c r="E743" s="134"/>
      <c r="F743" s="134"/>
      <c r="G743" s="134"/>
      <c r="H743" s="134"/>
      <c r="I743" s="134"/>
      <c r="J743" s="134"/>
      <c r="K743" s="134"/>
      <c r="L743" s="134"/>
      <c r="M743" s="134"/>
      <c r="N743" s="37" t="str">
        <f>IF((D742&lt;=D743)*AND(E742&lt;=E743)*AND(F742&lt;=F743)*AND(G742&lt;=G743)*AND(H742&lt;=H743)*AND(I742&lt;=I743)*AND(K742&lt;=K743)*AND(L742&lt;=L743)*AND(M742&lt;=M743)*AND(J742&lt;=J743),"Выполнено","ПРОВЕРИТЬ (ТОСов, сотрудничающих с муниципалитетами, не может быть меньше чем муниципалитетов, сотрудничающих с ТОСами)")</f>
        <v>Выполнено</v>
      </c>
      <c r="O743" s="74"/>
      <c r="P743" s="42"/>
    </row>
    <row r="744" spans="2:16" x14ac:dyDescent="0.25">
      <c r="B744" s="112" t="s">
        <v>842</v>
      </c>
      <c r="C744" s="215" t="s">
        <v>25</v>
      </c>
      <c r="D744" s="146"/>
      <c r="E744" s="147"/>
      <c r="F744" s="147"/>
      <c r="G744" s="147"/>
      <c r="H744" s="147"/>
      <c r="I744" s="147"/>
      <c r="J744" s="147"/>
      <c r="K744" s="147"/>
      <c r="L744" s="147"/>
      <c r="M744" s="147"/>
      <c r="N744" s="29"/>
      <c r="O744" s="74"/>
      <c r="P744" s="42"/>
    </row>
    <row r="745" spans="2:16" s="6" customFormat="1" ht="30" x14ac:dyDescent="0.25">
      <c r="B745" s="109" t="s">
        <v>37</v>
      </c>
      <c r="C745" s="216" t="s">
        <v>574</v>
      </c>
      <c r="D745" s="146"/>
      <c r="E745" s="147"/>
      <c r="F745" s="147"/>
      <c r="G745" s="147"/>
      <c r="H745" s="147"/>
      <c r="I745" s="147"/>
      <c r="J745" s="147"/>
      <c r="K745" s="147"/>
      <c r="L745" s="147"/>
      <c r="M745" s="147"/>
      <c r="N745" s="29"/>
      <c r="O745" s="74"/>
      <c r="P745" s="46"/>
    </row>
    <row r="746" spans="2:16" s="6" customFormat="1" x14ac:dyDescent="0.25">
      <c r="B746" s="109" t="s">
        <v>843</v>
      </c>
      <c r="C746" s="216" t="s">
        <v>553</v>
      </c>
      <c r="D746" s="72">
        <f t="shared" ref="D746:D748" si="198">SUM(E746:I746)+SUM(K746:M746)</f>
        <v>1</v>
      </c>
      <c r="E746" s="134"/>
      <c r="F746" s="134"/>
      <c r="G746" s="134">
        <v>1</v>
      </c>
      <c r="H746" s="134"/>
      <c r="I746" s="134"/>
      <c r="J746" s="134"/>
      <c r="K746" s="134"/>
      <c r="L746" s="134"/>
      <c r="M746" s="136"/>
      <c r="N746" s="37" t="str">
        <f>IF((D746&lt;=D$10)*AND(E746&lt;=E$10)*AND(F746&lt;=F$10)*AND(G746&lt;=G$10)*AND(H746&lt;=H$10)*AND(I746&lt;=I$10)*AND(K746&lt;=K$10)*AND(L746&lt;=L$10)*AND(M746&lt;=M$10)*AND(J746&lt;=J$10),"Выполнено","ПРОВЕРИТЬ (таких муниципальных образований не может быть больше их общего числа)")</f>
        <v>Выполнено</v>
      </c>
      <c r="O746" s="74"/>
      <c r="P746" s="48"/>
    </row>
    <row r="747" spans="2:16" s="6" customFormat="1" ht="30" x14ac:dyDescent="0.25">
      <c r="B747" s="109" t="s">
        <v>844</v>
      </c>
      <c r="C747" s="216" t="s">
        <v>575</v>
      </c>
      <c r="D747" s="72">
        <f t="shared" si="198"/>
        <v>0</v>
      </c>
      <c r="E747" s="134"/>
      <c r="F747" s="134"/>
      <c r="G747" s="134"/>
      <c r="H747" s="134"/>
      <c r="I747" s="134"/>
      <c r="J747" s="134"/>
      <c r="K747" s="134"/>
      <c r="L747" s="134"/>
      <c r="M747" s="136"/>
      <c r="N747" s="37" t="str">
        <f>IF((D747&lt;=D$10)*AND(E747&lt;=E$10)*AND(F747&lt;=F$10)*AND(G747&lt;=G$10)*AND(H747&lt;=H$10)*AND(I747&lt;=I$10)*AND(K747&lt;=K$10)*AND(L747&lt;=L$10)*AND(M747&lt;=M$10)*AND(J747&lt;=J$10),"Выполнено","ПРОВЕРИТЬ (таких муниципальных образований не может быть больше их общего числа)")</f>
        <v>Выполнено</v>
      </c>
      <c r="O747" s="79" t="str">
        <f>IF((E747&gt;=((F747+G747)/3000))*AND(K747&gt;=(L747/100)),"   ","Подсказка - если есть поселения со старостами, значит есть и районы со старостами, это же применимо и к гор.округам с делением")</f>
        <v xml:space="preserve">   </v>
      </c>
      <c r="P747" s="48"/>
    </row>
    <row r="748" spans="2:16" s="6" customFormat="1" ht="30" x14ac:dyDescent="0.25">
      <c r="B748" s="109" t="s">
        <v>845</v>
      </c>
      <c r="C748" s="216" t="s">
        <v>1093</v>
      </c>
      <c r="D748" s="72">
        <f t="shared" si="198"/>
        <v>0</v>
      </c>
      <c r="E748" s="134"/>
      <c r="F748" s="134"/>
      <c r="G748" s="134"/>
      <c r="H748" s="134"/>
      <c r="I748" s="134"/>
      <c r="J748" s="134"/>
      <c r="K748" s="134"/>
      <c r="L748" s="134"/>
      <c r="M748" s="136"/>
      <c r="N748" s="75"/>
      <c r="O748" s="79" t="str">
        <f>IF((D748&lt;=D747)*AND(E748&lt;=E747)*AND(F748&lt;=F747)*AND(G748&lt;=G747)*AND(H748&lt;=H747)*AND(I748&lt;=I747)*AND(K748&lt;=K747)*AND(L748&lt;=L747)*AND(M748&lt;=M747)*AND(J748&lt;=J747),"   ","Подсказка - вряд ли таких старост больше чем действующих старост")</f>
        <v xml:space="preserve">   </v>
      </c>
      <c r="P748" s="48"/>
    </row>
    <row r="749" spans="2:16" s="6" customFormat="1" ht="45" x14ac:dyDescent="0.25">
      <c r="B749" s="109" t="s">
        <v>38</v>
      </c>
      <c r="C749" s="216" t="s">
        <v>202</v>
      </c>
      <c r="D749" s="72">
        <f>SUM(D750:D752)</f>
        <v>0</v>
      </c>
      <c r="E749" s="147"/>
      <c r="F749" s="147"/>
      <c r="G749" s="147"/>
      <c r="H749" s="147"/>
      <c r="I749" s="147"/>
      <c r="J749" s="147"/>
      <c r="K749" s="147"/>
      <c r="L749" s="147"/>
      <c r="M749" s="147"/>
      <c r="N749" s="28"/>
      <c r="O749" s="74"/>
      <c r="P749" s="48"/>
    </row>
    <row r="750" spans="2:16" s="6" customFormat="1" ht="30" x14ac:dyDescent="0.25">
      <c r="B750" s="109" t="s">
        <v>846</v>
      </c>
      <c r="C750" s="212" t="s">
        <v>551</v>
      </c>
      <c r="D750" s="72">
        <f>SUM(F750:I750)</f>
        <v>0</v>
      </c>
      <c r="E750" s="153"/>
      <c r="F750" s="134"/>
      <c r="G750" s="134"/>
      <c r="H750" s="134"/>
      <c r="I750" s="134"/>
      <c r="J750" s="134"/>
      <c r="K750" s="147"/>
      <c r="L750" s="147"/>
      <c r="M750" s="147"/>
      <c r="N750" s="37" t="str">
        <f>IF((F750&gt;=F747)*AND(G750&gt;=G747)*AND(H750&gt;=H747)*AND(I750&gt;=I747),"Выполнено","ПРОВЕРИТЬ (старост в муниципальных образованиях не может быть меньше чем муниципальных образований соответствующего вида со старостами)")</f>
        <v>Выполнено</v>
      </c>
      <c r="O750" s="74"/>
      <c r="P750" s="48"/>
    </row>
    <row r="751" spans="2:16" s="6" customFormat="1" x14ac:dyDescent="0.25">
      <c r="B751" s="109" t="s">
        <v>847</v>
      </c>
      <c r="C751" s="216" t="s">
        <v>552</v>
      </c>
      <c r="D751" s="72">
        <f>E751</f>
        <v>0</v>
      </c>
      <c r="E751" s="134"/>
      <c r="F751" s="147"/>
      <c r="G751" s="147"/>
      <c r="H751" s="147"/>
      <c r="I751" s="147"/>
      <c r="J751" s="160"/>
      <c r="K751" s="147"/>
      <c r="L751" s="147"/>
      <c r="M751" s="147"/>
      <c r="N751" s="75"/>
      <c r="O751" s="75"/>
      <c r="P751" s="78"/>
    </row>
    <row r="752" spans="2:16" s="6" customFormat="1" ht="45" x14ac:dyDescent="0.25">
      <c r="B752" s="109" t="s">
        <v>848</v>
      </c>
      <c r="C752" s="216" t="s">
        <v>556</v>
      </c>
      <c r="D752" s="72">
        <f>L752+M752</f>
        <v>0</v>
      </c>
      <c r="E752" s="147"/>
      <c r="F752" s="147"/>
      <c r="G752" s="147"/>
      <c r="H752" s="147"/>
      <c r="I752" s="147"/>
      <c r="J752" s="147"/>
      <c r="K752" s="147"/>
      <c r="L752" s="136"/>
      <c r="M752" s="136"/>
      <c r="N752" s="37" t="str">
        <f>IF((L752&gt;=L747)*AND(M752&gt;=M747),"Выполнено","ПРОВЕРИТЬ (старост в муниципальных образованиях не может быть меньше чем муниципальных образований соответствующего вида со старостами)")</f>
        <v>Выполнено</v>
      </c>
      <c r="O752" s="75"/>
      <c r="P752" s="48"/>
    </row>
    <row r="753" spans="2:16" s="6" customFormat="1" ht="60" x14ac:dyDescent="0.25">
      <c r="B753" s="109" t="s">
        <v>365</v>
      </c>
      <c r="C753" s="216" t="s">
        <v>1094</v>
      </c>
      <c r="D753" s="72">
        <f>SUM(D754:D756)</f>
        <v>0</v>
      </c>
      <c r="E753" s="147"/>
      <c r="F753" s="147"/>
      <c r="G753" s="147"/>
      <c r="H753" s="147"/>
      <c r="I753" s="147"/>
      <c r="J753" s="147"/>
      <c r="K753" s="147"/>
      <c r="L753" s="147"/>
      <c r="M753" s="147"/>
      <c r="N753" s="75"/>
      <c r="O753" s="81"/>
      <c r="P753" s="48"/>
    </row>
    <row r="754" spans="2:16" s="6" customFormat="1" ht="30" x14ac:dyDescent="0.25">
      <c r="B754" s="109" t="s">
        <v>849</v>
      </c>
      <c r="C754" s="212" t="s">
        <v>551</v>
      </c>
      <c r="D754" s="72">
        <f>SUM(F754:I754)</f>
        <v>0</v>
      </c>
      <c r="E754" s="153"/>
      <c r="F754" s="134"/>
      <c r="G754" s="134"/>
      <c r="H754" s="134"/>
      <c r="I754" s="134"/>
      <c r="J754" s="134"/>
      <c r="K754" s="147"/>
      <c r="L754" s="147"/>
      <c r="M754" s="147"/>
      <c r="N754" s="75"/>
      <c r="O754" s="79" t="str">
        <f>IF((F754&lt;=F750)*AND(G754&lt;=G750)*AND(H754&lt;=H750)*AND(I754&lt;=I750),"   ","Подсказка - вряд ли таких старост больше чем действующих старост")</f>
        <v xml:space="preserve">   </v>
      </c>
      <c r="P754" s="48"/>
    </row>
    <row r="755" spans="2:16" s="6" customFormat="1" x14ac:dyDescent="0.25">
      <c r="B755" s="109" t="s">
        <v>850</v>
      </c>
      <c r="C755" s="216" t="s">
        <v>552</v>
      </c>
      <c r="D755" s="72">
        <f>E755</f>
        <v>0</v>
      </c>
      <c r="E755" s="134"/>
      <c r="F755" s="147"/>
      <c r="G755" s="147"/>
      <c r="H755" s="147"/>
      <c r="I755" s="147"/>
      <c r="J755" s="160"/>
      <c r="K755" s="147"/>
      <c r="L755" s="147"/>
      <c r="M755" s="147"/>
      <c r="N755" s="75"/>
      <c r="O755" s="81"/>
      <c r="P755" s="48"/>
    </row>
    <row r="756" spans="2:16" s="6" customFormat="1" ht="45" x14ac:dyDescent="0.25">
      <c r="B756" s="109" t="s">
        <v>851</v>
      </c>
      <c r="C756" s="216" t="s">
        <v>556</v>
      </c>
      <c r="D756" s="168">
        <f>L756+M756</f>
        <v>0</v>
      </c>
      <c r="E756" s="139"/>
      <c r="F756" s="139"/>
      <c r="G756" s="139"/>
      <c r="H756" s="139"/>
      <c r="I756" s="139"/>
      <c r="J756" s="139"/>
      <c r="K756" s="139"/>
      <c r="L756" s="169"/>
      <c r="M756" s="169"/>
      <c r="N756" s="75"/>
      <c r="O756" s="79" t="str">
        <f>IF((L756&lt;=L752)*AND(M756&lt;=M752)*AND(J756&lt;=J752),"   ","Подсказка - вряд ли таких старост больше чем действующих старост")</f>
        <v xml:space="preserve">   </v>
      </c>
      <c r="P756" s="48"/>
    </row>
    <row r="757" spans="2:16" s="6" customFormat="1" ht="45" x14ac:dyDescent="0.25">
      <c r="B757" s="109" t="s">
        <v>1106</v>
      </c>
      <c r="C757" s="227" t="s">
        <v>1395</v>
      </c>
      <c r="D757" s="177"/>
      <c r="E757" s="139"/>
      <c r="F757" s="139"/>
      <c r="G757" s="139"/>
      <c r="H757" s="139"/>
      <c r="I757" s="139"/>
      <c r="J757" s="139"/>
      <c r="K757" s="139"/>
      <c r="L757" s="178"/>
      <c r="M757" s="178"/>
      <c r="N757" s="179"/>
      <c r="O757" s="31"/>
      <c r="P757" s="78"/>
    </row>
    <row r="758" spans="2:16" s="6" customFormat="1" ht="30" x14ac:dyDescent="0.25">
      <c r="B758" s="109" t="s">
        <v>1107</v>
      </c>
      <c r="C758" s="228" t="s">
        <v>1111</v>
      </c>
      <c r="D758" s="172"/>
      <c r="E758" s="147"/>
      <c r="F758" s="147"/>
      <c r="G758" s="147"/>
      <c r="H758" s="147"/>
      <c r="I758" s="147"/>
      <c r="J758" s="147"/>
      <c r="K758" s="147"/>
      <c r="L758" s="173"/>
      <c r="M758" s="173"/>
      <c r="N758" s="81"/>
      <c r="O758" s="31"/>
      <c r="P758" s="78"/>
    </row>
    <row r="759" spans="2:16" s="6" customFormat="1" ht="30" x14ac:dyDescent="0.25">
      <c r="B759" s="109" t="s">
        <v>1108</v>
      </c>
      <c r="C759" s="228" t="s">
        <v>1112</v>
      </c>
      <c r="D759" s="180"/>
      <c r="E759" s="143"/>
      <c r="F759" s="143"/>
      <c r="G759" s="143"/>
      <c r="H759" s="143"/>
      <c r="I759" s="143"/>
      <c r="J759" s="143"/>
      <c r="K759" s="143"/>
      <c r="L759" s="181"/>
      <c r="M759" s="181"/>
      <c r="N759" s="176"/>
      <c r="O759" s="31"/>
      <c r="P759" s="78"/>
    </row>
    <row r="760" spans="2:16" s="6" customFormat="1" x14ac:dyDescent="0.25">
      <c r="B760" s="109" t="s">
        <v>1109</v>
      </c>
      <c r="C760" s="216" t="s">
        <v>1291</v>
      </c>
      <c r="D760" s="180">
        <f>SUM(E760:I760)+SUM(K760:M760)</f>
        <v>10</v>
      </c>
      <c r="E760" s="166"/>
      <c r="F760" s="166"/>
      <c r="G760" s="166">
        <v>10</v>
      </c>
      <c r="H760" s="166"/>
      <c r="I760" s="166"/>
      <c r="J760" s="166"/>
      <c r="K760" s="166"/>
      <c r="L760" s="134"/>
      <c r="M760" s="134"/>
      <c r="N760" s="176"/>
      <c r="O760" s="31"/>
      <c r="P760" s="78"/>
    </row>
    <row r="761" spans="2:16" s="6" customFormat="1" x14ac:dyDescent="0.25">
      <c r="B761" s="109" t="s">
        <v>1110</v>
      </c>
      <c r="C761" s="216" t="s">
        <v>1292</v>
      </c>
      <c r="D761" s="180">
        <f>SUM(E761:I761)+SUM(K761:M761)</f>
        <v>19</v>
      </c>
      <c r="E761" s="166"/>
      <c r="F761" s="166"/>
      <c r="G761" s="166">
        <v>19</v>
      </c>
      <c r="H761" s="166"/>
      <c r="I761" s="166"/>
      <c r="J761" s="166"/>
      <c r="K761" s="166"/>
      <c r="L761" s="134"/>
      <c r="M761" s="134"/>
      <c r="N761" s="176"/>
      <c r="O761" s="31"/>
      <c r="P761" s="78"/>
    </row>
    <row r="762" spans="2:16" s="6" customFormat="1" x14ac:dyDescent="0.25">
      <c r="B762" s="109" t="s">
        <v>1289</v>
      </c>
      <c r="C762" s="216" t="s">
        <v>1113</v>
      </c>
      <c r="D762" s="170">
        <f>SUM(E762:I762)+SUM(K762:M762)</f>
        <v>16</v>
      </c>
      <c r="E762" s="171"/>
      <c r="F762" s="171"/>
      <c r="G762" s="171">
        <v>16</v>
      </c>
      <c r="H762" s="171"/>
      <c r="I762" s="171"/>
      <c r="J762" s="171"/>
      <c r="K762" s="171"/>
      <c r="L762" s="148"/>
      <c r="M762" s="148"/>
      <c r="N762" s="175"/>
      <c r="O762" s="167"/>
      <c r="P762" s="78"/>
    </row>
    <row r="763" spans="2:16" s="6" customFormat="1" x14ac:dyDescent="0.25">
      <c r="B763" s="109" t="s">
        <v>1290</v>
      </c>
      <c r="C763" s="216" t="s">
        <v>1114</v>
      </c>
      <c r="D763" s="168">
        <f>SUM(E763:I763)+SUM(K763:M763)</f>
        <v>14</v>
      </c>
      <c r="E763" s="182"/>
      <c r="F763" s="182"/>
      <c r="G763" s="182">
        <v>14</v>
      </c>
      <c r="H763" s="182"/>
      <c r="I763" s="182"/>
      <c r="J763" s="182"/>
      <c r="K763" s="182"/>
      <c r="L763" s="169"/>
      <c r="M763" s="169"/>
      <c r="N763" s="174"/>
      <c r="O763" s="167"/>
      <c r="P763" s="78"/>
    </row>
    <row r="764" spans="2:16" s="6" customFormat="1" ht="45" x14ac:dyDescent="0.25">
      <c r="B764" s="109" t="s">
        <v>1125</v>
      </c>
      <c r="C764" s="228" t="s">
        <v>1396</v>
      </c>
      <c r="D764" s="172"/>
      <c r="E764" s="147"/>
      <c r="F764" s="147"/>
      <c r="G764" s="147"/>
      <c r="H764" s="147"/>
      <c r="I764" s="147"/>
      <c r="J764" s="147"/>
      <c r="K764" s="147"/>
      <c r="L764" s="173"/>
      <c r="M764" s="173"/>
      <c r="N764" s="81"/>
      <c r="O764" s="31"/>
      <c r="P764" s="78"/>
    </row>
    <row r="765" spans="2:16" s="6" customFormat="1" x14ac:dyDescent="0.25">
      <c r="B765" s="109" t="s">
        <v>1126</v>
      </c>
      <c r="C765" s="216" t="s">
        <v>1291</v>
      </c>
      <c r="D765" s="180">
        <f>SUM(E765:I765)+SUM(K765:M765)</f>
        <v>11</v>
      </c>
      <c r="E765" s="166"/>
      <c r="F765" s="166"/>
      <c r="G765" s="166">
        <v>11</v>
      </c>
      <c r="H765" s="166"/>
      <c r="I765" s="166"/>
      <c r="J765" s="166"/>
      <c r="K765" s="166"/>
      <c r="L765" s="134"/>
      <c r="M765" s="134"/>
      <c r="N765" s="176"/>
      <c r="O765" s="31"/>
      <c r="P765" s="78"/>
    </row>
    <row r="766" spans="2:16" s="6" customFormat="1" x14ac:dyDescent="0.25">
      <c r="B766" s="109" t="s">
        <v>1127</v>
      </c>
      <c r="C766" s="216" t="s">
        <v>1292</v>
      </c>
      <c r="D766" s="180">
        <f>SUM(E766:I766)+SUM(K766:M766)</f>
        <v>20</v>
      </c>
      <c r="E766" s="166"/>
      <c r="F766" s="166"/>
      <c r="G766" s="166">
        <v>20</v>
      </c>
      <c r="H766" s="166"/>
      <c r="I766" s="166"/>
      <c r="J766" s="166"/>
      <c r="K766" s="166"/>
      <c r="L766" s="134"/>
      <c r="M766" s="134"/>
      <c r="N766" s="176"/>
      <c r="O766" s="31"/>
      <c r="P766" s="78"/>
    </row>
    <row r="767" spans="2:16" s="6" customFormat="1" x14ac:dyDescent="0.25">
      <c r="B767" s="109" t="s">
        <v>1293</v>
      </c>
      <c r="C767" s="216" t="s">
        <v>1113</v>
      </c>
      <c r="D767" s="170">
        <f>SUM(E767:I767)+SUM(K767:M767)</f>
        <v>30</v>
      </c>
      <c r="E767" s="171"/>
      <c r="F767" s="171"/>
      <c r="G767" s="171">
        <v>30</v>
      </c>
      <c r="H767" s="171"/>
      <c r="I767" s="171"/>
      <c r="J767" s="171"/>
      <c r="K767" s="171"/>
      <c r="L767" s="148"/>
      <c r="M767" s="148"/>
      <c r="N767" s="175"/>
      <c r="O767" s="167"/>
      <c r="P767" s="78"/>
    </row>
    <row r="768" spans="2:16" s="6" customFormat="1" x14ac:dyDescent="0.25">
      <c r="B768" s="109" t="s">
        <v>1294</v>
      </c>
      <c r="C768" s="216" t="s">
        <v>1114</v>
      </c>
      <c r="D768" s="168">
        <f>SUM(E768:I768)+SUM(K768:M768)</f>
        <v>23</v>
      </c>
      <c r="E768" s="182"/>
      <c r="F768" s="182"/>
      <c r="G768" s="182">
        <v>23</v>
      </c>
      <c r="H768" s="182"/>
      <c r="I768" s="182"/>
      <c r="J768" s="182"/>
      <c r="K768" s="182"/>
      <c r="L768" s="169"/>
      <c r="M768" s="169"/>
      <c r="N768" s="174"/>
      <c r="O768" s="167"/>
      <c r="P768" s="78"/>
    </row>
    <row r="769" spans="2:16" s="6" customFormat="1" ht="45" x14ac:dyDescent="0.25">
      <c r="B769" s="109" t="s">
        <v>1128</v>
      </c>
      <c r="C769" s="229" t="s">
        <v>1457</v>
      </c>
      <c r="D769" s="172"/>
      <c r="E769" s="147"/>
      <c r="F769" s="147"/>
      <c r="G769" s="147"/>
      <c r="H769" s="147"/>
      <c r="I769" s="147"/>
      <c r="J769" s="147"/>
      <c r="K769" s="147"/>
      <c r="L769" s="173"/>
      <c r="M769" s="173"/>
      <c r="N769" s="81"/>
      <c r="O769" s="31"/>
      <c r="P769" s="78"/>
    </row>
    <row r="770" spans="2:16" s="6" customFormat="1" x14ac:dyDescent="0.25">
      <c r="B770" s="109" t="s">
        <v>1129</v>
      </c>
      <c r="C770" s="216" t="s">
        <v>1291</v>
      </c>
      <c r="D770" s="180">
        <f>SUM(E770:I770)+SUM(K770:M770)</f>
        <v>0</v>
      </c>
      <c r="E770" s="166"/>
      <c r="F770" s="166"/>
      <c r="G770" s="166"/>
      <c r="H770" s="166"/>
      <c r="I770" s="166"/>
      <c r="J770" s="166"/>
      <c r="K770" s="166"/>
      <c r="L770" s="134"/>
      <c r="M770" s="134"/>
      <c r="N770" s="176"/>
      <c r="O770" s="31"/>
      <c r="P770" s="78"/>
    </row>
    <row r="771" spans="2:16" s="6" customFormat="1" x14ac:dyDescent="0.25">
      <c r="B771" s="109" t="s">
        <v>1130</v>
      </c>
      <c r="C771" s="216" t="s">
        <v>1292</v>
      </c>
      <c r="D771" s="180">
        <f>SUM(E771:I771)+SUM(K771:M771)</f>
        <v>0</v>
      </c>
      <c r="E771" s="166"/>
      <c r="F771" s="166"/>
      <c r="G771" s="166"/>
      <c r="H771" s="166"/>
      <c r="I771" s="166"/>
      <c r="J771" s="166"/>
      <c r="K771" s="166"/>
      <c r="L771" s="134"/>
      <c r="M771" s="134"/>
      <c r="N771" s="176"/>
      <c r="O771" s="31"/>
      <c r="P771" s="78"/>
    </row>
    <row r="772" spans="2:16" s="6" customFormat="1" x14ac:dyDescent="0.25">
      <c r="B772" s="109" t="s">
        <v>1370</v>
      </c>
      <c r="C772" s="216" t="s">
        <v>1113</v>
      </c>
      <c r="D772" s="170">
        <f>SUM(E772:I772)+SUM(K772:M772)</f>
        <v>0</v>
      </c>
      <c r="E772" s="171"/>
      <c r="F772" s="171"/>
      <c r="G772" s="171"/>
      <c r="H772" s="171"/>
      <c r="I772" s="171"/>
      <c r="J772" s="171"/>
      <c r="K772" s="171"/>
      <c r="L772" s="148"/>
      <c r="M772" s="148"/>
      <c r="N772" s="175"/>
      <c r="O772" s="167"/>
      <c r="P772" s="78"/>
    </row>
    <row r="773" spans="2:16" s="6" customFormat="1" x14ac:dyDescent="0.25">
      <c r="B773" s="109" t="s">
        <v>1295</v>
      </c>
      <c r="C773" s="216" t="s">
        <v>1114</v>
      </c>
      <c r="D773" s="168">
        <f>SUM(E773:I773)+SUM(K773:M773)</f>
        <v>0</v>
      </c>
      <c r="E773" s="182"/>
      <c r="F773" s="182"/>
      <c r="G773" s="182"/>
      <c r="H773" s="182"/>
      <c r="I773" s="182"/>
      <c r="J773" s="182"/>
      <c r="K773" s="182"/>
      <c r="L773" s="169"/>
      <c r="M773" s="169"/>
      <c r="N773" s="174"/>
      <c r="O773" s="167"/>
      <c r="P773" s="78"/>
    </row>
    <row r="774" spans="2:16" s="6" customFormat="1" ht="45" x14ac:dyDescent="0.25">
      <c r="B774" s="109" t="s">
        <v>1131</v>
      </c>
      <c r="C774" s="229" t="s">
        <v>1458</v>
      </c>
      <c r="D774" s="172"/>
      <c r="E774" s="147"/>
      <c r="F774" s="147"/>
      <c r="G774" s="147"/>
      <c r="H774" s="147"/>
      <c r="I774" s="147"/>
      <c r="J774" s="147"/>
      <c r="K774" s="147"/>
      <c r="L774" s="173"/>
      <c r="M774" s="173"/>
      <c r="N774" s="81"/>
      <c r="O774" s="31"/>
      <c r="P774" s="78"/>
    </row>
    <row r="775" spans="2:16" s="6" customFormat="1" x14ac:dyDescent="0.25">
      <c r="B775" s="109" t="s">
        <v>1132</v>
      </c>
      <c r="C775" s="216" t="s">
        <v>1291</v>
      </c>
      <c r="D775" s="180">
        <f>SUM(E775:I775)+SUM(K775:M775)</f>
        <v>0</v>
      </c>
      <c r="E775" s="166"/>
      <c r="F775" s="166"/>
      <c r="G775" s="166"/>
      <c r="H775" s="166"/>
      <c r="I775" s="166"/>
      <c r="J775" s="166"/>
      <c r="K775" s="166"/>
      <c r="L775" s="134"/>
      <c r="M775" s="134"/>
      <c r="N775" s="176"/>
      <c r="O775" s="31"/>
      <c r="P775" s="78"/>
    </row>
    <row r="776" spans="2:16" s="6" customFormat="1" x14ac:dyDescent="0.25">
      <c r="B776" s="109" t="s">
        <v>1133</v>
      </c>
      <c r="C776" s="216" t="s">
        <v>1292</v>
      </c>
      <c r="D776" s="180">
        <f>SUM(E776:I776)+SUM(K776:M776)</f>
        <v>0</v>
      </c>
      <c r="E776" s="166"/>
      <c r="F776" s="166"/>
      <c r="G776" s="166"/>
      <c r="H776" s="166"/>
      <c r="I776" s="166"/>
      <c r="J776" s="166"/>
      <c r="K776" s="166"/>
      <c r="L776" s="134"/>
      <c r="M776" s="134"/>
      <c r="N776" s="176"/>
      <c r="O776" s="31"/>
      <c r="P776" s="78"/>
    </row>
    <row r="777" spans="2:16" s="6" customFormat="1" x14ac:dyDescent="0.25">
      <c r="B777" s="109" t="s">
        <v>1296</v>
      </c>
      <c r="C777" s="216" t="s">
        <v>1113</v>
      </c>
      <c r="D777" s="170">
        <f>SUM(E777:I777)+SUM(K777:M777)</f>
        <v>0</v>
      </c>
      <c r="E777" s="171"/>
      <c r="F777" s="171"/>
      <c r="G777" s="171"/>
      <c r="H777" s="171"/>
      <c r="I777" s="171"/>
      <c r="J777" s="171"/>
      <c r="K777" s="171"/>
      <c r="L777" s="148"/>
      <c r="M777" s="148"/>
      <c r="N777" s="175"/>
      <c r="O777" s="167"/>
      <c r="P777" s="78"/>
    </row>
    <row r="778" spans="2:16" s="6" customFormat="1" x14ac:dyDescent="0.25">
      <c r="B778" s="109" t="s">
        <v>1297</v>
      </c>
      <c r="C778" s="216" t="s">
        <v>1114</v>
      </c>
      <c r="D778" s="168">
        <f>SUM(E778:I778)+SUM(K778:M778)</f>
        <v>0</v>
      </c>
      <c r="E778" s="182"/>
      <c r="F778" s="182"/>
      <c r="G778" s="182"/>
      <c r="H778" s="182"/>
      <c r="I778" s="182"/>
      <c r="J778" s="182"/>
      <c r="K778" s="182"/>
      <c r="L778" s="169"/>
      <c r="M778" s="169"/>
      <c r="N778" s="174"/>
      <c r="O778" s="167"/>
      <c r="P778" s="78"/>
    </row>
    <row r="779" spans="2:16" s="6" customFormat="1" ht="45" x14ac:dyDescent="0.25">
      <c r="B779" s="109" t="s">
        <v>1352</v>
      </c>
      <c r="C779" s="228" t="s">
        <v>1459</v>
      </c>
      <c r="D779" s="172"/>
      <c r="E779" s="147"/>
      <c r="F779" s="147"/>
      <c r="G779" s="147"/>
      <c r="H779" s="147"/>
      <c r="I779" s="147"/>
      <c r="J779" s="147"/>
      <c r="K779" s="147"/>
      <c r="L779" s="173"/>
      <c r="M779" s="173"/>
      <c r="N779" s="81"/>
      <c r="O779" s="31"/>
      <c r="P779" s="78"/>
    </row>
    <row r="780" spans="2:16" s="6" customFormat="1" x14ac:dyDescent="0.25">
      <c r="B780" s="109" t="s">
        <v>1353</v>
      </c>
      <c r="C780" s="216" t="s">
        <v>1291</v>
      </c>
      <c r="D780" s="180">
        <f>SUM(E780:I780)+SUM(K780:M780)</f>
        <v>0</v>
      </c>
      <c r="E780" s="166"/>
      <c r="F780" s="166"/>
      <c r="G780" s="166"/>
      <c r="H780" s="166"/>
      <c r="I780" s="166"/>
      <c r="J780" s="166"/>
      <c r="K780" s="166"/>
      <c r="L780" s="134"/>
      <c r="M780" s="134"/>
      <c r="N780" s="176"/>
      <c r="O780" s="31"/>
      <c r="P780" s="78"/>
    </row>
    <row r="781" spans="2:16" s="6" customFormat="1" x14ac:dyDescent="0.25">
      <c r="B781" s="109" t="s">
        <v>1354</v>
      </c>
      <c r="C781" s="216" t="s">
        <v>1292</v>
      </c>
      <c r="D781" s="180">
        <f>SUM(E781:I781)+SUM(K781:M781)</f>
        <v>0</v>
      </c>
      <c r="E781" s="166"/>
      <c r="F781" s="166"/>
      <c r="G781" s="166"/>
      <c r="H781" s="166"/>
      <c r="I781" s="166"/>
      <c r="J781" s="166"/>
      <c r="K781" s="166"/>
      <c r="L781" s="134"/>
      <c r="M781" s="134"/>
      <c r="N781" s="176"/>
      <c r="O781" s="31"/>
      <c r="P781" s="78"/>
    </row>
    <row r="782" spans="2:16" s="6" customFormat="1" x14ac:dyDescent="0.25">
      <c r="B782" s="109" t="s">
        <v>1355</v>
      </c>
      <c r="C782" s="216" t="s">
        <v>1113</v>
      </c>
      <c r="D782" s="170">
        <f>SUM(E782:I782)+SUM(K782:M782)</f>
        <v>0</v>
      </c>
      <c r="E782" s="171"/>
      <c r="F782" s="171"/>
      <c r="G782" s="171"/>
      <c r="H782" s="171"/>
      <c r="I782" s="171"/>
      <c r="J782" s="171"/>
      <c r="K782" s="171"/>
      <c r="L782" s="148"/>
      <c r="M782" s="148"/>
      <c r="N782" s="175"/>
      <c r="O782" s="167"/>
      <c r="P782" s="78"/>
    </row>
    <row r="783" spans="2:16" s="6" customFormat="1" x14ac:dyDescent="0.25">
      <c r="B783" s="109" t="s">
        <v>1356</v>
      </c>
      <c r="C783" s="216" t="s">
        <v>1114</v>
      </c>
      <c r="D783" s="168">
        <f>SUM(E783:I783)+SUM(K783:M783)</f>
        <v>0</v>
      </c>
      <c r="E783" s="182"/>
      <c r="F783" s="182"/>
      <c r="G783" s="182"/>
      <c r="H783" s="182"/>
      <c r="I783" s="182"/>
      <c r="J783" s="182"/>
      <c r="K783" s="182"/>
      <c r="L783" s="169"/>
      <c r="M783" s="169"/>
      <c r="N783" s="174"/>
      <c r="O783" s="167"/>
      <c r="P783" s="78"/>
    </row>
    <row r="784" spans="2:16" s="6" customFormat="1" ht="60" x14ac:dyDescent="0.25">
      <c r="B784" s="109" t="s">
        <v>1371</v>
      </c>
      <c r="C784" s="228" t="s">
        <v>1460</v>
      </c>
      <c r="D784" s="172"/>
      <c r="E784" s="147"/>
      <c r="F784" s="147"/>
      <c r="G784" s="147"/>
      <c r="H784" s="147"/>
      <c r="I784" s="147"/>
      <c r="J784" s="147"/>
      <c r="K784" s="147"/>
      <c r="L784" s="173"/>
      <c r="M784" s="173"/>
      <c r="N784" s="81"/>
      <c r="O784" s="31"/>
      <c r="P784" s="78"/>
    </row>
    <row r="785" spans="2:16" s="6" customFormat="1" x14ac:dyDescent="0.25">
      <c r="B785" s="109" t="s">
        <v>1372</v>
      </c>
      <c r="C785" s="216" t="s">
        <v>1291</v>
      </c>
      <c r="D785" s="180">
        <f>SUM(E785:I785)+SUM(K785:M785)</f>
        <v>0</v>
      </c>
      <c r="E785" s="166"/>
      <c r="F785" s="166"/>
      <c r="G785" s="166"/>
      <c r="H785" s="166"/>
      <c r="I785" s="166"/>
      <c r="J785" s="166"/>
      <c r="K785" s="166"/>
      <c r="L785" s="134"/>
      <c r="M785" s="134"/>
      <c r="N785" s="176"/>
      <c r="O785" s="31"/>
      <c r="P785" s="78"/>
    </row>
    <row r="786" spans="2:16" s="6" customFormat="1" x14ac:dyDescent="0.25">
      <c r="B786" s="109" t="s">
        <v>1373</v>
      </c>
      <c r="C786" s="216" t="s">
        <v>1292</v>
      </c>
      <c r="D786" s="180">
        <f>SUM(E786:I786)+SUM(K786:M786)</f>
        <v>0</v>
      </c>
      <c r="E786" s="166"/>
      <c r="F786" s="166"/>
      <c r="G786" s="166"/>
      <c r="H786" s="166"/>
      <c r="I786" s="166"/>
      <c r="J786" s="166"/>
      <c r="K786" s="166"/>
      <c r="L786" s="134"/>
      <c r="M786" s="134"/>
      <c r="N786" s="176"/>
      <c r="O786" s="31"/>
      <c r="P786" s="78"/>
    </row>
    <row r="787" spans="2:16" s="6" customFormat="1" x14ac:dyDescent="0.25">
      <c r="B787" s="109" t="s">
        <v>1374</v>
      </c>
      <c r="C787" s="216" t="s">
        <v>1113</v>
      </c>
      <c r="D787" s="170">
        <f>SUM(E787:I787)+SUM(K787:M787)</f>
        <v>0</v>
      </c>
      <c r="E787" s="171"/>
      <c r="F787" s="171"/>
      <c r="G787" s="171"/>
      <c r="H787" s="171"/>
      <c r="I787" s="171"/>
      <c r="J787" s="171"/>
      <c r="K787" s="171"/>
      <c r="L787" s="148"/>
      <c r="M787" s="148"/>
      <c r="N787" s="175"/>
      <c r="O787" s="167"/>
      <c r="P787" s="78"/>
    </row>
    <row r="788" spans="2:16" s="6" customFormat="1" x14ac:dyDescent="0.25">
      <c r="B788" s="109" t="s">
        <v>1375</v>
      </c>
      <c r="C788" s="216" t="s">
        <v>1114</v>
      </c>
      <c r="D788" s="168">
        <f>SUM(E788:I788)+SUM(K788:M788)</f>
        <v>0</v>
      </c>
      <c r="E788" s="182"/>
      <c r="F788" s="182"/>
      <c r="G788" s="182"/>
      <c r="H788" s="182"/>
      <c r="I788" s="182"/>
      <c r="J788" s="182"/>
      <c r="K788" s="182"/>
      <c r="L788" s="169"/>
      <c r="M788" s="169"/>
      <c r="N788" s="174"/>
      <c r="O788" s="167"/>
      <c r="P788" s="78"/>
    </row>
    <row r="789" spans="2:16" s="6" customFormat="1" ht="60" x14ac:dyDescent="0.25">
      <c r="B789" s="109" t="s">
        <v>1376</v>
      </c>
      <c r="C789" s="228" t="s">
        <v>1369</v>
      </c>
      <c r="D789" s="172"/>
      <c r="E789" s="147"/>
      <c r="F789" s="147"/>
      <c r="G789" s="147"/>
      <c r="H789" s="147"/>
      <c r="I789" s="147"/>
      <c r="J789" s="147"/>
      <c r="K789" s="147"/>
      <c r="L789" s="173"/>
      <c r="M789" s="173"/>
      <c r="N789" s="81"/>
      <c r="O789" s="31"/>
      <c r="P789" s="78"/>
    </row>
    <row r="790" spans="2:16" s="6" customFormat="1" x14ac:dyDescent="0.25">
      <c r="B790" s="109" t="s">
        <v>1377</v>
      </c>
      <c r="C790" s="216" t="s">
        <v>1291</v>
      </c>
      <c r="D790" s="180">
        <f>SUM(E790:I790)+SUM(K790:M790)</f>
        <v>0</v>
      </c>
      <c r="E790" s="166"/>
      <c r="F790" s="166"/>
      <c r="G790" s="166"/>
      <c r="H790" s="166"/>
      <c r="I790" s="166"/>
      <c r="J790" s="166"/>
      <c r="K790" s="166"/>
      <c r="L790" s="134"/>
      <c r="M790" s="134"/>
      <c r="N790" s="176"/>
      <c r="O790" s="31"/>
      <c r="P790" s="78"/>
    </row>
    <row r="791" spans="2:16" s="6" customFormat="1" x14ac:dyDescent="0.25">
      <c r="B791" s="109" t="s">
        <v>1378</v>
      </c>
      <c r="C791" s="216" t="s">
        <v>1292</v>
      </c>
      <c r="D791" s="180">
        <f>SUM(E791:I791)+SUM(K791:M791)</f>
        <v>0</v>
      </c>
      <c r="E791" s="166"/>
      <c r="F791" s="166"/>
      <c r="G791" s="166"/>
      <c r="H791" s="166"/>
      <c r="I791" s="166"/>
      <c r="J791" s="166"/>
      <c r="K791" s="166"/>
      <c r="L791" s="134"/>
      <c r="M791" s="134"/>
      <c r="N791" s="176"/>
      <c r="O791" s="31"/>
      <c r="P791" s="78"/>
    </row>
    <row r="792" spans="2:16" s="6" customFormat="1" x14ac:dyDescent="0.25">
      <c r="B792" s="109" t="s">
        <v>1379</v>
      </c>
      <c r="C792" s="216" t="s">
        <v>1113</v>
      </c>
      <c r="D792" s="170">
        <f>SUM(E792:I792)+SUM(K792:M792)</f>
        <v>0</v>
      </c>
      <c r="E792" s="171"/>
      <c r="F792" s="171"/>
      <c r="G792" s="171"/>
      <c r="H792" s="171"/>
      <c r="I792" s="171"/>
      <c r="J792" s="171"/>
      <c r="K792" s="171"/>
      <c r="L792" s="148"/>
      <c r="M792" s="148"/>
      <c r="N792" s="175"/>
      <c r="O792" s="167"/>
      <c r="P792" s="78"/>
    </row>
    <row r="793" spans="2:16" s="6" customFormat="1" x14ac:dyDescent="0.25">
      <c r="B793" s="109" t="s">
        <v>1380</v>
      </c>
      <c r="C793" s="216" t="s">
        <v>1114</v>
      </c>
      <c r="D793" s="168">
        <f>SUM(E793:I793)+SUM(K793:M793)</f>
        <v>0</v>
      </c>
      <c r="E793" s="182"/>
      <c r="F793" s="182"/>
      <c r="G793" s="182"/>
      <c r="H793" s="182"/>
      <c r="I793" s="182"/>
      <c r="J793" s="182"/>
      <c r="K793" s="182"/>
      <c r="L793" s="169"/>
      <c r="M793" s="169"/>
      <c r="N793" s="174"/>
      <c r="O793" s="167"/>
      <c r="P793" s="78"/>
    </row>
    <row r="794" spans="2:16" s="6" customFormat="1" ht="90" x14ac:dyDescent="0.25">
      <c r="B794" s="109" t="s">
        <v>1381</v>
      </c>
      <c r="C794" s="228" t="s">
        <v>1368</v>
      </c>
      <c r="D794" s="172"/>
      <c r="E794" s="147"/>
      <c r="F794" s="147"/>
      <c r="G794" s="147"/>
      <c r="H794" s="147"/>
      <c r="I794" s="147"/>
      <c r="J794" s="147"/>
      <c r="K794" s="147"/>
      <c r="L794" s="173"/>
      <c r="M794" s="173"/>
      <c r="N794" s="81"/>
      <c r="O794" s="31"/>
      <c r="P794" s="78"/>
    </row>
    <row r="795" spans="2:16" s="6" customFormat="1" x14ac:dyDescent="0.25">
      <c r="B795" s="109" t="s">
        <v>1382</v>
      </c>
      <c r="C795" s="216" t="s">
        <v>1291</v>
      </c>
      <c r="D795" s="180">
        <f>SUM(E795:I795)+SUM(K795:M795)</f>
        <v>0</v>
      </c>
      <c r="E795" s="166"/>
      <c r="F795" s="166"/>
      <c r="G795" s="166"/>
      <c r="H795" s="166"/>
      <c r="I795" s="166"/>
      <c r="J795" s="166"/>
      <c r="K795" s="166"/>
      <c r="L795" s="134"/>
      <c r="M795" s="134"/>
      <c r="N795" s="176"/>
      <c r="O795" s="31"/>
      <c r="P795" s="78"/>
    </row>
    <row r="796" spans="2:16" s="6" customFormat="1" x14ac:dyDescent="0.25">
      <c r="B796" s="109" t="s">
        <v>1383</v>
      </c>
      <c r="C796" s="216" t="s">
        <v>1292</v>
      </c>
      <c r="D796" s="180">
        <f>SUM(E796:I796)+SUM(K796:M796)</f>
        <v>0</v>
      </c>
      <c r="E796" s="166"/>
      <c r="F796" s="166"/>
      <c r="G796" s="166"/>
      <c r="H796" s="166"/>
      <c r="I796" s="166"/>
      <c r="J796" s="166"/>
      <c r="K796" s="166"/>
      <c r="L796" s="134"/>
      <c r="M796" s="134"/>
      <c r="N796" s="176"/>
      <c r="O796" s="31"/>
      <c r="P796" s="78"/>
    </row>
    <row r="797" spans="2:16" s="6" customFormat="1" x14ac:dyDescent="0.25">
      <c r="B797" s="109" t="s">
        <v>1384</v>
      </c>
      <c r="C797" s="216" t="s">
        <v>1113</v>
      </c>
      <c r="D797" s="170">
        <f>SUM(E797:I797)+SUM(K797:M797)</f>
        <v>0</v>
      </c>
      <c r="E797" s="171"/>
      <c r="F797" s="171"/>
      <c r="G797" s="171"/>
      <c r="H797" s="171"/>
      <c r="I797" s="171"/>
      <c r="J797" s="171"/>
      <c r="K797" s="171"/>
      <c r="L797" s="148"/>
      <c r="M797" s="148"/>
      <c r="N797" s="175"/>
      <c r="O797" s="167"/>
      <c r="P797" s="78"/>
    </row>
    <row r="798" spans="2:16" s="6" customFormat="1" x14ac:dyDescent="0.25">
      <c r="B798" s="109" t="s">
        <v>1385</v>
      </c>
      <c r="C798" s="216" t="s">
        <v>1114</v>
      </c>
      <c r="D798" s="168">
        <f>SUM(E798:I798)+SUM(K798:M798)</f>
        <v>0</v>
      </c>
      <c r="E798" s="182"/>
      <c r="F798" s="182"/>
      <c r="G798" s="182"/>
      <c r="H798" s="182"/>
      <c r="I798" s="182"/>
      <c r="J798" s="182"/>
      <c r="K798" s="182"/>
      <c r="L798" s="169"/>
      <c r="M798" s="169"/>
      <c r="N798" s="174"/>
      <c r="O798" s="167"/>
      <c r="P798" s="78"/>
    </row>
    <row r="799" spans="2:16" s="6" customFormat="1" ht="60" x14ac:dyDescent="0.25">
      <c r="B799" s="109" t="s">
        <v>1134</v>
      </c>
      <c r="C799" s="228" t="s">
        <v>1386</v>
      </c>
      <c r="D799" s="172"/>
      <c r="E799" s="147"/>
      <c r="F799" s="147"/>
      <c r="G799" s="147"/>
      <c r="H799" s="147"/>
      <c r="I799" s="147"/>
      <c r="J799" s="147"/>
      <c r="K799" s="147"/>
      <c r="L799" s="173"/>
      <c r="M799" s="173"/>
      <c r="N799" s="81"/>
      <c r="O799" s="31"/>
      <c r="P799" s="78"/>
    </row>
    <row r="800" spans="2:16" s="6" customFormat="1" x14ac:dyDescent="0.25">
      <c r="B800" s="109" t="s">
        <v>1135</v>
      </c>
      <c r="C800" s="216" t="s">
        <v>1291</v>
      </c>
      <c r="D800" s="180">
        <f>SUM(E800:I800)+SUM(K800:M800)</f>
        <v>0</v>
      </c>
      <c r="E800" s="166"/>
      <c r="F800" s="166"/>
      <c r="G800" s="166"/>
      <c r="H800" s="166"/>
      <c r="I800" s="166"/>
      <c r="J800" s="166"/>
      <c r="K800" s="166"/>
      <c r="L800" s="134"/>
      <c r="M800" s="134"/>
      <c r="N800" s="176"/>
      <c r="O800" s="31"/>
      <c r="P800" s="78"/>
    </row>
    <row r="801" spans="2:16" s="6" customFormat="1" x14ac:dyDescent="0.25">
      <c r="B801" s="109" t="s">
        <v>1136</v>
      </c>
      <c r="C801" s="216" t="s">
        <v>1292</v>
      </c>
      <c r="D801" s="180">
        <f>SUM(E801:I801)+SUM(K801:M801)</f>
        <v>0</v>
      </c>
      <c r="E801" s="166"/>
      <c r="F801" s="166"/>
      <c r="G801" s="166"/>
      <c r="H801" s="166"/>
      <c r="I801" s="166"/>
      <c r="J801" s="166"/>
      <c r="K801" s="166"/>
      <c r="L801" s="134"/>
      <c r="M801" s="134"/>
      <c r="N801" s="176"/>
      <c r="O801" s="31"/>
      <c r="P801" s="78"/>
    </row>
    <row r="802" spans="2:16" s="6" customFormat="1" x14ac:dyDescent="0.25">
      <c r="B802" s="109" t="s">
        <v>1137</v>
      </c>
      <c r="C802" s="216" t="s">
        <v>1113</v>
      </c>
      <c r="D802" s="170">
        <f>SUM(E802:I802)+SUM(K802:M802)</f>
        <v>0</v>
      </c>
      <c r="E802" s="171"/>
      <c r="F802" s="171"/>
      <c r="G802" s="171"/>
      <c r="H802" s="171"/>
      <c r="I802" s="171"/>
      <c r="J802" s="171"/>
      <c r="K802" s="171"/>
      <c r="L802" s="148"/>
      <c r="M802" s="148"/>
      <c r="N802" s="175"/>
      <c r="O802" s="167"/>
      <c r="P802" s="78"/>
    </row>
    <row r="803" spans="2:16" s="6" customFormat="1" x14ac:dyDescent="0.25">
      <c r="B803" s="109" t="s">
        <v>1399</v>
      </c>
      <c r="C803" s="216" t="s">
        <v>1114</v>
      </c>
      <c r="D803" s="168">
        <f>SUM(E803:I803)+SUM(K803:M803)</f>
        <v>0</v>
      </c>
      <c r="E803" s="182"/>
      <c r="F803" s="182"/>
      <c r="G803" s="182"/>
      <c r="H803" s="182"/>
      <c r="I803" s="182"/>
      <c r="J803" s="182"/>
      <c r="K803" s="182"/>
      <c r="L803" s="169"/>
      <c r="M803" s="169"/>
      <c r="N803" s="174"/>
      <c r="O803" s="167"/>
      <c r="P803" s="78"/>
    </row>
    <row r="804" spans="2:16" s="6" customFormat="1" ht="60" x14ac:dyDescent="0.25">
      <c r="B804" s="109" t="s">
        <v>1119</v>
      </c>
      <c r="C804" s="228" t="s">
        <v>1398</v>
      </c>
      <c r="D804" s="172"/>
      <c r="E804" s="147"/>
      <c r="F804" s="147"/>
      <c r="G804" s="147"/>
      <c r="H804" s="147"/>
      <c r="I804" s="147"/>
      <c r="J804" s="147"/>
      <c r="K804" s="147"/>
      <c r="L804" s="173"/>
      <c r="M804" s="173"/>
      <c r="N804" s="81"/>
      <c r="O804" s="31"/>
      <c r="P804" s="78"/>
    </row>
    <row r="805" spans="2:16" s="6" customFormat="1" x14ac:dyDescent="0.25">
      <c r="B805" s="109" t="s">
        <v>1138</v>
      </c>
      <c r="C805" s="216" t="s">
        <v>1291</v>
      </c>
      <c r="D805" s="180">
        <f>SUM(E805:I805)+SUM(K805:M805)</f>
        <v>0</v>
      </c>
      <c r="E805" s="166"/>
      <c r="F805" s="166"/>
      <c r="G805" s="166"/>
      <c r="H805" s="166"/>
      <c r="I805" s="166"/>
      <c r="J805" s="166"/>
      <c r="K805" s="166"/>
      <c r="L805" s="134"/>
      <c r="M805" s="134"/>
      <c r="N805" s="176"/>
      <c r="O805" s="31"/>
      <c r="P805" s="78"/>
    </row>
    <row r="806" spans="2:16" s="6" customFormat="1" x14ac:dyDescent="0.25">
      <c r="B806" s="109" t="s">
        <v>1139</v>
      </c>
      <c r="C806" s="216" t="s">
        <v>1292</v>
      </c>
      <c r="D806" s="180">
        <f>SUM(E806:I806)+SUM(K806:M806)</f>
        <v>0</v>
      </c>
      <c r="E806" s="166"/>
      <c r="F806" s="166"/>
      <c r="G806" s="166"/>
      <c r="H806" s="166"/>
      <c r="I806" s="166"/>
      <c r="J806" s="166"/>
      <c r="K806" s="166"/>
      <c r="L806" s="134"/>
      <c r="M806" s="134"/>
      <c r="N806" s="176"/>
      <c r="O806" s="31"/>
      <c r="P806" s="78"/>
    </row>
    <row r="807" spans="2:16" s="6" customFormat="1" x14ac:dyDescent="0.25">
      <c r="B807" s="109" t="s">
        <v>1400</v>
      </c>
      <c r="C807" s="216" t="s">
        <v>1113</v>
      </c>
      <c r="D807" s="170">
        <f>SUM(E807:I807)+SUM(K807:M807)</f>
        <v>0</v>
      </c>
      <c r="E807" s="171"/>
      <c r="F807" s="171"/>
      <c r="G807" s="171"/>
      <c r="H807" s="171"/>
      <c r="I807" s="171"/>
      <c r="J807" s="171"/>
      <c r="K807" s="171"/>
      <c r="L807" s="148"/>
      <c r="M807" s="148"/>
      <c r="N807" s="175"/>
      <c r="O807" s="167"/>
      <c r="P807" s="78"/>
    </row>
    <row r="808" spans="2:16" s="6" customFormat="1" x14ac:dyDescent="0.25">
      <c r="B808" s="109" t="s">
        <v>1401</v>
      </c>
      <c r="C808" s="216" t="s">
        <v>1114</v>
      </c>
      <c r="D808" s="168">
        <f>SUM(E808:I808)+SUM(K808:M808)</f>
        <v>0</v>
      </c>
      <c r="E808" s="182"/>
      <c r="F808" s="182"/>
      <c r="G808" s="182"/>
      <c r="H808" s="182"/>
      <c r="I808" s="182"/>
      <c r="J808" s="182"/>
      <c r="K808" s="182"/>
      <c r="L808" s="169"/>
      <c r="M808" s="169"/>
      <c r="N808" s="174"/>
      <c r="O808" s="167"/>
      <c r="P808" s="78"/>
    </row>
    <row r="809" spans="2:16" s="6" customFormat="1" ht="90" x14ac:dyDescent="0.25">
      <c r="B809" s="109" t="s">
        <v>1140</v>
      </c>
      <c r="C809" s="216" t="s">
        <v>1365</v>
      </c>
      <c r="D809" s="72">
        <f>SUM(E809:I809)+SUM(K809:M809)</f>
        <v>0</v>
      </c>
      <c r="E809" s="166"/>
      <c r="F809" s="166"/>
      <c r="G809" s="166"/>
      <c r="H809" s="166"/>
      <c r="I809" s="166"/>
      <c r="J809" s="166"/>
      <c r="K809" s="166"/>
      <c r="L809" s="136"/>
      <c r="M809" s="136"/>
      <c r="N809" s="75"/>
      <c r="O809" s="167"/>
      <c r="P809" s="78"/>
    </row>
    <row r="810" spans="2:16" s="6" customFormat="1" ht="45" x14ac:dyDescent="0.25">
      <c r="B810" s="109" t="s">
        <v>1124</v>
      </c>
      <c r="C810" s="228" t="s">
        <v>1366</v>
      </c>
      <c r="D810" s="172"/>
      <c r="E810" s="147"/>
      <c r="F810" s="147"/>
      <c r="G810" s="147"/>
      <c r="H810" s="147"/>
      <c r="I810" s="147"/>
      <c r="J810" s="147"/>
      <c r="K810" s="147"/>
      <c r="L810" s="173"/>
      <c r="M810" s="173"/>
      <c r="N810" s="81"/>
      <c r="O810" s="31"/>
      <c r="P810" s="78"/>
    </row>
    <row r="811" spans="2:16" s="6" customFormat="1" x14ac:dyDescent="0.25">
      <c r="B811" s="109" t="s">
        <v>1122</v>
      </c>
      <c r="C811" s="216" t="s">
        <v>1291</v>
      </c>
      <c r="D811" s="180">
        <f>SUM(E811:I811)+SUM(K811:M811)</f>
        <v>0</v>
      </c>
      <c r="E811" s="166"/>
      <c r="F811" s="166"/>
      <c r="G811" s="166"/>
      <c r="H811" s="166"/>
      <c r="I811" s="166"/>
      <c r="J811" s="166"/>
      <c r="K811" s="166"/>
      <c r="L811" s="134"/>
      <c r="M811" s="134"/>
      <c r="N811" s="176"/>
      <c r="O811" s="31"/>
      <c r="P811" s="78"/>
    </row>
    <row r="812" spans="2:16" s="6" customFormat="1" x14ac:dyDescent="0.25">
      <c r="B812" s="109" t="s">
        <v>1123</v>
      </c>
      <c r="C812" s="216" t="s">
        <v>1292</v>
      </c>
      <c r="D812" s="180">
        <f>SUM(E812:I812)+SUM(K812:M812)</f>
        <v>0</v>
      </c>
      <c r="E812" s="166"/>
      <c r="F812" s="166"/>
      <c r="G812" s="166"/>
      <c r="H812" s="166"/>
      <c r="I812" s="166"/>
      <c r="J812" s="166"/>
      <c r="K812" s="166"/>
      <c r="L812" s="134"/>
      <c r="M812" s="134"/>
      <c r="N812" s="176"/>
      <c r="O812" s="31"/>
      <c r="P812" s="78"/>
    </row>
    <row r="813" spans="2:16" s="6" customFormat="1" x14ac:dyDescent="0.25">
      <c r="B813" s="109" t="s">
        <v>1298</v>
      </c>
      <c r="C813" s="216" t="s">
        <v>1113</v>
      </c>
      <c r="D813" s="170">
        <f>SUM(E813:I813)+SUM(K813:M813)</f>
        <v>0</v>
      </c>
      <c r="E813" s="171"/>
      <c r="F813" s="171"/>
      <c r="G813" s="171"/>
      <c r="H813" s="171"/>
      <c r="I813" s="171"/>
      <c r="J813" s="171"/>
      <c r="K813" s="171"/>
      <c r="L813" s="148"/>
      <c r="M813" s="148"/>
      <c r="N813" s="175"/>
      <c r="O813" s="167"/>
      <c r="P813" s="78"/>
    </row>
    <row r="814" spans="2:16" s="6" customFormat="1" x14ac:dyDescent="0.25">
      <c r="B814" s="109" t="s">
        <v>1299</v>
      </c>
      <c r="C814" s="216" t="s">
        <v>1114</v>
      </c>
      <c r="D814" s="168">
        <f>SUM(E814:I814)+SUM(K814:M814)</f>
        <v>0</v>
      </c>
      <c r="E814" s="182"/>
      <c r="F814" s="182"/>
      <c r="G814" s="182"/>
      <c r="H814" s="182"/>
      <c r="I814" s="182"/>
      <c r="J814" s="182"/>
      <c r="K814" s="182"/>
      <c r="L814" s="169"/>
      <c r="M814" s="169"/>
      <c r="N814" s="174"/>
      <c r="O814" s="167"/>
      <c r="P814" s="78"/>
    </row>
    <row r="815" spans="2:16" s="6" customFormat="1" ht="60" x14ac:dyDescent="0.25">
      <c r="B815" s="109" t="s">
        <v>1357</v>
      </c>
      <c r="C815" s="228" t="s">
        <v>1367</v>
      </c>
      <c r="D815" s="172"/>
      <c r="E815" s="147"/>
      <c r="F815" s="147"/>
      <c r="G815" s="147"/>
      <c r="H815" s="147"/>
      <c r="I815" s="147"/>
      <c r="J815" s="147"/>
      <c r="K815" s="147"/>
      <c r="L815" s="173"/>
      <c r="M815" s="173"/>
      <c r="N815" s="81"/>
      <c r="O815" s="31"/>
      <c r="P815" s="78"/>
    </row>
    <row r="816" spans="2:16" s="6" customFormat="1" x14ac:dyDescent="0.25">
      <c r="B816" s="109" t="s">
        <v>1402</v>
      </c>
      <c r="C816" s="216" t="s">
        <v>1291</v>
      </c>
      <c r="D816" s="180">
        <f>SUM(E816:I816)+SUM(K816:M816)</f>
        <v>0</v>
      </c>
      <c r="E816" s="166"/>
      <c r="F816" s="166"/>
      <c r="G816" s="166"/>
      <c r="H816" s="166"/>
      <c r="I816" s="166"/>
      <c r="J816" s="166"/>
      <c r="K816" s="166"/>
      <c r="L816" s="134"/>
      <c r="M816" s="134"/>
      <c r="N816" s="176"/>
      <c r="O816" s="31"/>
      <c r="P816" s="78"/>
    </row>
    <row r="817" spans="2:16" s="6" customFormat="1" x14ac:dyDescent="0.25">
      <c r="B817" s="109" t="s">
        <v>1403</v>
      </c>
      <c r="C817" s="216" t="s">
        <v>1292</v>
      </c>
      <c r="D817" s="180">
        <f>SUM(E817:I817)+SUM(K817:M817)</f>
        <v>0</v>
      </c>
      <c r="E817" s="166"/>
      <c r="F817" s="166"/>
      <c r="G817" s="166"/>
      <c r="H817" s="166"/>
      <c r="I817" s="166"/>
      <c r="J817" s="166"/>
      <c r="K817" s="166"/>
      <c r="L817" s="134"/>
      <c r="M817" s="134"/>
      <c r="N817" s="176"/>
      <c r="O817" s="31"/>
      <c r="P817" s="78"/>
    </row>
    <row r="818" spans="2:16" s="6" customFormat="1" x14ac:dyDescent="0.25">
      <c r="B818" s="109" t="s">
        <v>1404</v>
      </c>
      <c r="C818" s="216" t="s">
        <v>1113</v>
      </c>
      <c r="D818" s="170">
        <f>SUM(E818:I818)+SUM(K818:M818)</f>
        <v>0</v>
      </c>
      <c r="E818" s="171"/>
      <c r="F818" s="171"/>
      <c r="G818" s="171"/>
      <c r="H818" s="171"/>
      <c r="I818" s="171"/>
      <c r="J818" s="171"/>
      <c r="K818" s="171"/>
      <c r="L818" s="148"/>
      <c r="M818" s="148"/>
      <c r="N818" s="175"/>
      <c r="O818" s="167"/>
      <c r="P818" s="78"/>
    </row>
    <row r="819" spans="2:16" s="6" customFormat="1" x14ac:dyDescent="0.25">
      <c r="B819" s="109" t="s">
        <v>1405</v>
      </c>
      <c r="C819" s="216" t="s">
        <v>1114</v>
      </c>
      <c r="D819" s="168">
        <f>SUM(E819:I819)+SUM(K819:M819)</f>
        <v>0</v>
      </c>
      <c r="E819" s="182"/>
      <c r="F819" s="182"/>
      <c r="G819" s="182"/>
      <c r="H819" s="182"/>
      <c r="I819" s="182"/>
      <c r="J819" s="182"/>
      <c r="K819" s="182"/>
      <c r="L819" s="169"/>
      <c r="M819" s="169"/>
      <c r="N819" s="174"/>
      <c r="O819" s="167"/>
      <c r="P819" s="78"/>
    </row>
    <row r="820" spans="2:16" s="6" customFormat="1" x14ac:dyDescent="0.25">
      <c r="B820" s="109" t="s">
        <v>1358</v>
      </c>
      <c r="C820" s="228" t="s">
        <v>1115</v>
      </c>
      <c r="D820" s="172"/>
      <c r="E820" s="147"/>
      <c r="F820" s="147"/>
      <c r="G820" s="147"/>
      <c r="H820" s="147"/>
      <c r="I820" s="147"/>
      <c r="J820" s="147"/>
      <c r="K820" s="147"/>
      <c r="L820" s="173"/>
      <c r="M820" s="173"/>
      <c r="N820" s="81"/>
      <c r="O820" s="31"/>
      <c r="P820" s="78"/>
    </row>
    <row r="821" spans="2:16" s="6" customFormat="1" ht="45" x14ac:dyDescent="0.25">
      <c r="B821" s="109" t="s">
        <v>1359</v>
      </c>
      <c r="C821" s="228" t="s">
        <v>1116</v>
      </c>
      <c r="D821" s="180"/>
      <c r="E821" s="143"/>
      <c r="F821" s="143"/>
      <c r="G821" s="143"/>
      <c r="H821" s="143"/>
      <c r="I821" s="143"/>
      <c r="J821" s="143"/>
      <c r="K821" s="143"/>
      <c r="L821" s="181"/>
      <c r="M821" s="181"/>
      <c r="N821" s="176"/>
      <c r="O821" s="31"/>
      <c r="P821" s="78"/>
    </row>
    <row r="822" spans="2:16" s="6" customFormat="1" x14ac:dyDescent="0.25">
      <c r="B822" s="109" t="s">
        <v>1406</v>
      </c>
      <c r="C822" s="216" t="s">
        <v>1291</v>
      </c>
      <c r="D822" s="180">
        <f>SUM(E822:I822)+SUM(K822:M822)</f>
        <v>10</v>
      </c>
      <c r="E822" s="166"/>
      <c r="F822" s="166"/>
      <c r="G822" s="166">
        <v>10</v>
      </c>
      <c r="H822" s="166"/>
      <c r="I822" s="166"/>
      <c r="J822" s="166"/>
      <c r="K822" s="166"/>
      <c r="L822" s="134"/>
      <c r="M822" s="134"/>
      <c r="N822" s="176"/>
      <c r="O822" s="31"/>
      <c r="P822" s="78"/>
    </row>
    <row r="823" spans="2:16" s="6" customFormat="1" x14ac:dyDescent="0.25">
      <c r="B823" s="109" t="s">
        <v>1407</v>
      </c>
      <c r="C823" s="216" t="s">
        <v>1292</v>
      </c>
      <c r="D823" s="180">
        <f>SUM(E823:I823)+SUM(K823:M823)</f>
        <v>19</v>
      </c>
      <c r="E823" s="166"/>
      <c r="F823" s="166"/>
      <c r="G823" s="166">
        <v>19</v>
      </c>
      <c r="H823" s="166"/>
      <c r="I823" s="166"/>
      <c r="J823" s="166"/>
      <c r="K823" s="166"/>
      <c r="L823" s="134"/>
      <c r="M823" s="134"/>
      <c r="N823" s="176"/>
      <c r="O823" s="31"/>
      <c r="P823" s="78"/>
    </row>
    <row r="824" spans="2:16" s="6" customFormat="1" x14ac:dyDescent="0.25">
      <c r="B824" s="109" t="s">
        <v>1408</v>
      </c>
      <c r="C824" s="216" t="s">
        <v>1113</v>
      </c>
      <c r="D824" s="170">
        <f>SUM(E824:I824)+SUM(K824:M824)</f>
        <v>28</v>
      </c>
      <c r="E824" s="171"/>
      <c r="F824" s="171"/>
      <c r="G824" s="171">
        <v>28</v>
      </c>
      <c r="H824" s="171"/>
      <c r="I824" s="171"/>
      <c r="J824" s="171"/>
      <c r="K824" s="171"/>
      <c r="L824" s="148"/>
      <c r="M824" s="148"/>
      <c r="N824" s="175"/>
      <c r="O824" s="167"/>
      <c r="P824" s="78"/>
    </row>
    <row r="825" spans="2:16" s="6" customFormat="1" x14ac:dyDescent="0.25">
      <c r="B825" s="109" t="s">
        <v>1409</v>
      </c>
      <c r="C825" s="216" t="s">
        <v>1114</v>
      </c>
      <c r="D825" s="168">
        <f>SUM(E825:I825)+SUM(K825:M825)</f>
        <v>21</v>
      </c>
      <c r="E825" s="182"/>
      <c r="F825" s="182"/>
      <c r="G825" s="182">
        <v>21</v>
      </c>
      <c r="H825" s="182"/>
      <c r="I825" s="182"/>
      <c r="J825" s="182"/>
      <c r="K825" s="182"/>
      <c r="L825" s="169"/>
      <c r="M825" s="169"/>
      <c r="N825" s="174"/>
      <c r="O825" s="167"/>
      <c r="P825" s="78"/>
    </row>
    <row r="826" spans="2:16" s="6" customFormat="1" ht="45" x14ac:dyDescent="0.25">
      <c r="B826" s="109" t="s">
        <v>1360</v>
      </c>
      <c r="C826" s="228" t="s">
        <v>1117</v>
      </c>
      <c r="D826" s="172"/>
      <c r="E826" s="147"/>
      <c r="F826" s="147"/>
      <c r="G826" s="147"/>
      <c r="H826" s="147"/>
      <c r="I826" s="147"/>
      <c r="J826" s="147"/>
      <c r="K826" s="147"/>
      <c r="L826" s="173"/>
      <c r="M826" s="173"/>
      <c r="N826" s="81"/>
      <c r="O826" s="31"/>
      <c r="P826" s="78"/>
    </row>
    <row r="827" spans="2:16" s="6" customFormat="1" x14ac:dyDescent="0.25">
      <c r="B827" s="109" t="s">
        <v>1410</v>
      </c>
      <c r="C827" s="216" t="s">
        <v>1291</v>
      </c>
      <c r="D827" s="180">
        <f>SUM(E827:I827)+SUM(K827:M827)</f>
        <v>0</v>
      </c>
      <c r="E827" s="166"/>
      <c r="F827" s="166"/>
      <c r="G827" s="166"/>
      <c r="H827" s="166"/>
      <c r="I827" s="166"/>
      <c r="J827" s="166"/>
      <c r="K827" s="166"/>
      <c r="L827" s="134"/>
      <c r="M827" s="134"/>
      <c r="N827" s="176"/>
      <c r="O827" s="31"/>
      <c r="P827" s="78"/>
    </row>
    <row r="828" spans="2:16" s="6" customFormat="1" x14ac:dyDescent="0.25">
      <c r="B828" s="109" t="s">
        <v>1411</v>
      </c>
      <c r="C828" s="216" t="s">
        <v>1292</v>
      </c>
      <c r="D828" s="180">
        <f>SUM(E828:I828)+SUM(K828:M828)</f>
        <v>0</v>
      </c>
      <c r="E828" s="166"/>
      <c r="F828" s="166"/>
      <c r="G828" s="166"/>
      <c r="H828" s="166"/>
      <c r="I828" s="166"/>
      <c r="J828" s="166"/>
      <c r="K828" s="166"/>
      <c r="L828" s="134"/>
      <c r="M828" s="134"/>
      <c r="N828" s="176"/>
      <c r="O828" s="31"/>
      <c r="P828" s="78"/>
    </row>
    <row r="829" spans="2:16" s="6" customFormat="1" x14ac:dyDescent="0.25">
      <c r="B829" s="109" t="s">
        <v>1412</v>
      </c>
      <c r="C829" s="216" t="s">
        <v>1113</v>
      </c>
      <c r="D829" s="170">
        <f>SUM(E829:I829)+SUM(K829:M829)</f>
        <v>0</v>
      </c>
      <c r="E829" s="171"/>
      <c r="F829" s="171"/>
      <c r="G829" s="171"/>
      <c r="H829" s="171"/>
      <c r="I829" s="171"/>
      <c r="J829" s="171"/>
      <c r="K829" s="171"/>
      <c r="L829" s="148"/>
      <c r="M829" s="148"/>
      <c r="N829" s="175"/>
      <c r="O829" s="167"/>
      <c r="P829" s="78"/>
    </row>
    <row r="830" spans="2:16" s="6" customFormat="1" x14ac:dyDescent="0.25">
      <c r="B830" s="109" t="s">
        <v>1413</v>
      </c>
      <c r="C830" s="216" t="s">
        <v>1114</v>
      </c>
      <c r="D830" s="168">
        <f>SUM(E830:I830)+SUM(K830:M830)</f>
        <v>0</v>
      </c>
      <c r="E830" s="182"/>
      <c r="F830" s="182"/>
      <c r="G830" s="182"/>
      <c r="H830" s="182"/>
      <c r="I830" s="182"/>
      <c r="J830" s="182"/>
      <c r="K830" s="182"/>
      <c r="L830" s="169"/>
      <c r="M830" s="169"/>
      <c r="N830" s="174"/>
      <c r="O830" s="167"/>
      <c r="P830" s="78"/>
    </row>
    <row r="831" spans="2:16" s="6" customFormat="1" ht="30" x14ac:dyDescent="0.25">
      <c r="B831" s="109" t="s">
        <v>1361</v>
      </c>
      <c r="C831" s="228" t="s">
        <v>1118</v>
      </c>
      <c r="D831" s="172"/>
      <c r="E831" s="147"/>
      <c r="F831" s="147"/>
      <c r="G831" s="147"/>
      <c r="H831" s="147"/>
      <c r="I831" s="147"/>
      <c r="J831" s="147"/>
      <c r="K831" s="147"/>
      <c r="L831" s="173"/>
      <c r="M831" s="173"/>
      <c r="N831" s="81"/>
      <c r="O831" s="31"/>
      <c r="P831" s="78"/>
    </row>
    <row r="832" spans="2:16" s="6" customFormat="1" x14ac:dyDescent="0.25">
      <c r="B832" s="109" t="s">
        <v>1414</v>
      </c>
      <c r="C832" s="216" t="s">
        <v>1291</v>
      </c>
      <c r="D832" s="180">
        <f>SUM(E832:I832)+SUM(K832:M832)</f>
        <v>0</v>
      </c>
      <c r="E832" s="166"/>
      <c r="F832" s="166"/>
      <c r="G832" s="166"/>
      <c r="H832" s="166"/>
      <c r="I832" s="166"/>
      <c r="J832" s="166"/>
      <c r="K832" s="166"/>
      <c r="L832" s="134"/>
      <c r="M832" s="134"/>
      <c r="N832" s="176"/>
      <c r="O832" s="31"/>
      <c r="P832" s="78"/>
    </row>
    <row r="833" spans="2:16" s="6" customFormat="1" x14ac:dyDescent="0.25">
      <c r="B833" s="109" t="s">
        <v>1415</v>
      </c>
      <c r="C833" s="216" t="s">
        <v>1292</v>
      </c>
      <c r="D833" s="180">
        <f>SUM(E833:I833)+SUM(K833:M833)</f>
        <v>0</v>
      </c>
      <c r="E833" s="166"/>
      <c r="F833" s="166"/>
      <c r="G833" s="166"/>
      <c r="H833" s="166"/>
      <c r="I833" s="166"/>
      <c r="J833" s="166"/>
      <c r="K833" s="166"/>
      <c r="L833" s="134"/>
      <c r="M833" s="134"/>
      <c r="N833" s="176"/>
      <c r="O833" s="31"/>
      <c r="P833" s="78"/>
    </row>
    <row r="834" spans="2:16" s="6" customFormat="1" x14ac:dyDescent="0.25">
      <c r="B834" s="109" t="s">
        <v>1416</v>
      </c>
      <c r="C834" s="216" t="s">
        <v>1113</v>
      </c>
      <c r="D834" s="170">
        <f>SUM(E834:I834)+SUM(K834:M834)</f>
        <v>0</v>
      </c>
      <c r="E834" s="171"/>
      <c r="F834" s="171"/>
      <c r="G834" s="171"/>
      <c r="H834" s="171"/>
      <c r="I834" s="171"/>
      <c r="J834" s="171"/>
      <c r="K834" s="171"/>
      <c r="L834" s="148"/>
      <c r="M834" s="148"/>
      <c r="N834" s="175"/>
      <c r="O834" s="167"/>
      <c r="P834" s="78"/>
    </row>
    <row r="835" spans="2:16" s="6" customFormat="1" x14ac:dyDescent="0.25">
      <c r="B835" s="109" t="s">
        <v>1417</v>
      </c>
      <c r="C835" s="216" t="s">
        <v>1114</v>
      </c>
      <c r="D835" s="168">
        <f>SUM(E835:I835)+SUM(K835:M835)</f>
        <v>0</v>
      </c>
      <c r="E835" s="182"/>
      <c r="F835" s="182"/>
      <c r="G835" s="182"/>
      <c r="H835" s="182"/>
      <c r="I835" s="182"/>
      <c r="J835" s="182"/>
      <c r="K835" s="182"/>
      <c r="L835" s="169"/>
      <c r="M835" s="169"/>
      <c r="N835" s="174"/>
      <c r="O835" s="167"/>
      <c r="P835" s="78"/>
    </row>
    <row r="836" spans="2:16" s="6" customFormat="1" x14ac:dyDescent="0.25">
      <c r="B836" s="109" t="s">
        <v>1362</v>
      </c>
      <c r="C836" s="228" t="s">
        <v>1120</v>
      </c>
      <c r="D836" s="172"/>
      <c r="E836" s="147"/>
      <c r="F836" s="147"/>
      <c r="G836" s="147"/>
      <c r="H836" s="147"/>
      <c r="I836" s="147"/>
      <c r="J836" s="147"/>
      <c r="K836" s="147"/>
      <c r="L836" s="173"/>
      <c r="M836" s="173"/>
      <c r="N836" s="81"/>
      <c r="O836" s="31"/>
      <c r="P836" s="78"/>
    </row>
    <row r="837" spans="2:16" s="6" customFormat="1" ht="45" x14ac:dyDescent="0.25">
      <c r="B837" s="109" t="s">
        <v>1363</v>
      </c>
      <c r="C837" s="228" t="s">
        <v>1121</v>
      </c>
      <c r="D837" s="72">
        <f t="shared" ref="D837:D842" si="199">SUM(E837:I837)+SUM(K837:M837)</f>
        <v>0</v>
      </c>
      <c r="E837" s="166"/>
      <c r="F837" s="166"/>
      <c r="G837" s="166"/>
      <c r="H837" s="166"/>
      <c r="I837" s="166"/>
      <c r="J837" s="166"/>
      <c r="K837" s="166"/>
      <c r="L837" s="134"/>
      <c r="M837" s="134"/>
      <c r="N837" s="75"/>
      <c r="O837" s="31"/>
      <c r="P837" s="78"/>
    </row>
    <row r="838" spans="2:16" s="6" customFormat="1" ht="30" x14ac:dyDescent="0.25">
      <c r="B838" s="109" t="s">
        <v>1364</v>
      </c>
      <c r="C838" s="228" t="s">
        <v>1397</v>
      </c>
      <c r="D838" s="72">
        <f t="shared" si="199"/>
        <v>10</v>
      </c>
      <c r="E838" s="166"/>
      <c r="F838" s="166"/>
      <c r="G838" s="166">
        <v>10</v>
      </c>
      <c r="H838" s="166"/>
      <c r="I838" s="166"/>
      <c r="J838" s="166"/>
      <c r="K838" s="166"/>
      <c r="L838" s="134"/>
      <c r="M838" s="134"/>
      <c r="N838" s="75"/>
      <c r="O838" s="31"/>
      <c r="P838" s="78"/>
    </row>
    <row r="839" spans="2:16" s="6" customFormat="1" x14ac:dyDescent="0.25">
      <c r="B839" s="109" t="s">
        <v>1418</v>
      </c>
      <c r="C839" s="216" t="s">
        <v>1291</v>
      </c>
      <c r="D839" s="180">
        <f t="shared" si="199"/>
        <v>2</v>
      </c>
      <c r="E839" s="166"/>
      <c r="F839" s="166"/>
      <c r="G839" s="166">
        <v>2</v>
      </c>
      <c r="H839" s="166"/>
      <c r="I839" s="166"/>
      <c r="J839" s="166"/>
      <c r="K839" s="166"/>
      <c r="L839" s="134"/>
      <c r="M839" s="134"/>
      <c r="N839" s="176"/>
      <c r="O839" s="31"/>
      <c r="P839" s="78"/>
    </row>
    <row r="840" spans="2:16" s="6" customFormat="1" x14ac:dyDescent="0.25">
      <c r="B840" s="109" t="s">
        <v>1419</v>
      </c>
      <c r="C840" s="216" t="s">
        <v>1292</v>
      </c>
      <c r="D840" s="180">
        <f t="shared" si="199"/>
        <v>3</v>
      </c>
      <c r="E840" s="166"/>
      <c r="F840" s="166"/>
      <c r="G840" s="166">
        <v>3</v>
      </c>
      <c r="H840" s="166"/>
      <c r="I840" s="166"/>
      <c r="J840" s="166"/>
      <c r="K840" s="166"/>
      <c r="L840" s="134"/>
      <c r="M840" s="134"/>
      <c r="N840" s="176"/>
      <c r="O840" s="31"/>
      <c r="P840" s="78"/>
    </row>
    <row r="841" spans="2:16" s="6" customFormat="1" x14ac:dyDescent="0.25">
      <c r="B841" s="109" t="s">
        <v>1420</v>
      </c>
      <c r="C841" s="216" t="s">
        <v>1113</v>
      </c>
      <c r="D841" s="170">
        <f t="shared" si="199"/>
        <v>2</v>
      </c>
      <c r="E841" s="171"/>
      <c r="F841" s="171"/>
      <c r="G841" s="171">
        <v>2</v>
      </c>
      <c r="H841" s="171"/>
      <c r="I841" s="171"/>
      <c r="J841" s="171"/>
      <c r="K841" s="171"/>
      <c r="L841" s="148"/>
      <c r="M841" s="148"/>
      <c r="N841" s="175"/>
      <c r="O841" s="167"/>
      <c r="P841" s="78"/>
    </row>
    <row r="842" spans="2:16" s="6" customFormat="1" x14ac:dyDescent="0.25">
      <c r="B842" s="109" t="s">
        <v>1421</v>
      </c>
      <c r="C842" s="216" t="s">
        <v>1114</v>
      </c>
      <c r="D842" s="168">
        <f t="shared" si="199"/>
        <v>3</v>
      </c>
      <c r="E842" s="182"/>
      <c r="F842" s="182"/>
      <c r="G842" s="182">
        <v>3</v>
      </c>
      <c r="H842" s="182"/>
      <c r="I842" s="182"/>
      <c r="J842" s="182"/>
      <c r="K842" s="182"/>
      <c r="L842" s="169"/>
      <c r="M842" s="169"/>
      <c r="N842" s="174"/>
      <c r="O842" s="167"/>
      <c r="P842" s="78"/>
    </row>
    <row r="843" spans="2:16" s="6" customFormat="1" x14ac:dyDescent="0.25">
      <c r="B843" s="109" t="s">
        <v>1155</v>
      </c>
      <c r="C843" s="215" t="s">
        <v>1158</v>
      </c>
      <c r="D843" s="72"/>
      <c r="E843" s="146"/>
      <c r="F843" s="147"/>
      <c r="G843" s="147"/>
      <c r="H843" s="147"/>
      <c r="I843" s="147"/>
      <c r="J843" s="147"/>
      <c r="K843" s="147"/>
      <c r="L843" s="173"/>
      <c r="M843" s="210"/>
      <c r="N843" s="211"/>
      <c r="O843" s="31"/>
      <c r="P843" s="78"/>
    </row>
    <row r="844" spans="2:16" s="6" customFormat="1" ht="60" x14ac:dyDescent="0.25">
      <c r="B844" s="108" t="s">
        <v>1156</v>
      </c>
      <c r="C844" s="217" t="s">
        <v>1159</v>
      </c>
      <c r="D844" s="193"/>
      <c r="E844" s="150"/>
      <c r="F844" s="160"/>
      <c r="G844" s="160"/>
      <c r="H844" s="160"/>
      <c r="I844" s="160"/>
      <c r="J844" s="160"/>
      <c r="K844" s="160"/>
      <c r="L844" s="190"/>
      <c r="M844" s="191"/>
      <c r="N844" s="186"/>
      <c r="O844" s="187"/>
      <c r="P844" s="78"/>
    </row>
    <row r="845" spans="2:16" s="194" customFormat="1" ht="45" x14ac:dyDescent="0.25">
      <c r="B845" s="108" t="s">
        <v>1157</v>
      </c>
      <c r="C845" s="217" t="s">
        <v>1306</v>
      </c>
      <c r="D845" s="193"/>
      <c r="E845" s="142"/>
      <c r="F845" s="143"/>
      <c r="G845" s="143"/>
      <c r="H845" s="143"/>
      <c r="I845" s="143"/>
      <c r="J845" s="143"/>
      <c r="K845" s="143"/>
      <c r="L845" s="181"/>
      <c r="M845" s="192"/>
      <c r="N845" s="188"/>
      <c r="O845" s="189"/>
      <c r="P845" s="195"/>
    </row>
    <row r="846" spans="2:16" s="6" customFormat="1" x14ac:dyDescent="0.25">
      <c r="B846" s="9"/>
      <c r="C846" s="212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14"/>
      <c r="O846" s="206"/>
      <c r="P846" s="48"/>
    </row>
    <row r="847" spans="2:16" s="6" customFormat="1" x14ac:dyDescent="0.25">
      <c r="B847" s="235" t="s">
        <v>368</v>
      </c>
      <c r="C847" s="236"/>
      <c r="D847" s="236"/>
      <c r="E847" s="236"/>
      <c r="F847" s="236"/>
      <c r="G847" s="236"/>
      <c r="H847" s="236"/>
      <c r="I847" s="236"/>
      <c r="J847" s="236"/>
      <c r="K847" s="236"/>
      <c r="L847" s="236"/>
      <c r="M847" s="236"/>
      <c r="N847" s="236"/>
      <c r="O847" s="237"/>
      <c r="P847" s="78"/>
    </row>
    <row r="848" spans="2:16" s="6" customFormat="1" ht="30" customHeight="1" x14ac:dyDescent="0.25">
      <c r="B848" s="80" t="s">
        <v>1</v>
      </c>
      <c r="C848" s="231" t="s">
        <v>967</v>
      </c>
      <c r="D848" s="232"/>
      <c r="E848" s="232"/>
      <c r="F848" s="232"/>
      <c r="G848" s="232"/>
      <c r="H848" s="233"/>
      <c r="I848" s="233"/>
      <c r="J848" s="233"/>
      <c r="K848" s="233"/>
      <c r="L848" s="233"/>
      <c r="M848" s="233"/>
      <c r="N848" s="233"/>
      <c r="O848" s="234"/>
      <c r="P848" s="48"/>
    </row>
    <row r="849" spans="1:16" s="6" customFormat="1" ht="15" customHeight="1" x14ac:dyDescent="0.25">
      <c r="B849" s="80" t="s">
        <v>554</v>
      </c>
      <c r="C849" s="238" t="s">
        <v>15</v>
      </c>
      <c r="D849" s="232"/>
      <c r="E849" s="232"/>
      <c r="F849" s="232"/>
      <c r="G849" s="232"/>
      <c r="H849" s="233"/>
      <c r="I849" s="233"/>
      <c r="J849" s="233"/>
      <c r="K849" s="233"/>
      <c r="L849" s="233"/>
      <c r="M849" s="233"/>
      <c r="N849" s="233"/>
      <c r="O849" s="234"/>
      <c r="P849" s="48"/>
    </row>
    <row r="850" spans="1:16" s="6" customFormat="1" ht="15" customHeight="1" x14ac:dyDescent="0.25">
      <c r="B850" s="80" t="s">
        <v>332</v>
      </c>
      <c r="C850" s="238" t="s">
        <v>557</v>
      </c>
      <c r="D850" s="232"/>
      <c r="E850" s="232"/>
      <c r="F850" s="232"/>
      <c r="G850" s="232"/>
      <c r="H850" s="233"/>
      <c r="I850" s="233"/>
      <c r="J850" s="233"/>
      <c r="K850" s="233"/>
      <c r="L850" s="233"/>
      <c r="M850" s="233"/>
      <c r="N850" s="233"/>
      <c r="O850" s="234"/>
      <c r="P850" s="48"/>
    </row>
    <row r="851" spans="1:16" s="6" customFormat="1" ht="15" customHeight="1" x14ac:dyDescent="0.25">
      <c r="B851" s="80" t="s">
        <v>333</v>
      </c>
      <c r="C851" s="231" t="s">
        <v>968</v>
      </c>
      <c r="D851" s="232"/>
      <c r="E851" s="232"/>
      <c r="F851" s="232"/>
      <c r="G851" s="232"/>
      <c r="H851" s="233"/>
      <c r="I851" s="233"/>
      <c r="J851" s="233"/>
      <c r="K851" s="233"/>
      <c r="L851" s="233"/>
      <c r="M851" s="233"/>
      <c r="N851" s="233"/>
      <c r="O851" s="234"/>
      <c r="P851" s="48"/>
    </row>
    <row r="852" spans="1:16" s="6" customFormat="1" ht="30" customHeight="1" x14ac:dyDescent="0.25">
      <c r="B852" s="80" t="s">
        <v>555</v>
      </c>
      <c r="C852" s="231" t="s">
        <v>971</v>
      </c>
      <c r="D852" s="232"/>
      <c r="E852" s="232"/>
      <c r="F852" s="232"/>
      <c r="G852" s="232"/>
      <c r="H852" s="233"/>
      <c r="I852" s="233"/>
      <c r="J852" s="233"/>
      <c r="K852" s="233"/>
      <c r="L852" s="233"/>
      <c r="M852" s="233"/>
      <c r="N852" s="233"/>
      <c r="O852" s="234"/>
      <c r="P852" s="78"/>
    </row>
    <row r="853" spans="1:16" s="6" customFormat="1" ht="30" customHeight="1" x14ac:dyDescent="0.25">
      <c r="B853" s="80" t="s">
        <v>455</v>
      </c>
      <c r="C853" s="231" t="s">
        <v>970</v>
      </c>
      <c r="D853" s="232"/>
      <c r="E853" s="232"/>
      <c r="F853" s="232"/>
      <c r="G853" s="232"/>
      <c r="H853" s="233"/>
      <c r="I853" s="233"/>
      <c r="J853" s="233"/>
      <c r="K853" s="233"/>
      <c r="L853" s="233"/>
      <c r="M853" s="233"/>
      <c r="N853" s="233"/>
      <c r="O853" s="234"/>
      <c r="P853" s="78"/>
    </row>
    <row r="854" spans="1:16" s="6" customFormat="1" ht="15" customHeight="1" x14ac:dyDescent="0.25">
      <c r="B854" s="80" t="s">
        <v>456</v>
      </c>
      <c r="C854" s="231" t="s">
        <v>969</v>
      </c>
      <c r="D854" s="232"/>
      <c r="E854" s="232"/>
      <c r="F854" s="232"/>
      <c r="G854" s="232"/>
      <c r="H854" s="233"/>
      <c r="I854" s="233"/>
      <c r="J854" s="233"/>
      <c r="K854" s="233"/>
      <c r="L854" s="233"/>
      <c r="M854" s="233"/>
      <c r="N854" s="233"/>
      <c r="O854" s="234"/>
      <c r="P854" s="78"/>
    </row>
    <row r="855" spans="1:16" s="6" customFormat="1" ht="30" customHeight="1" x14ac:dyDescent="0.25">
      <c r="A855" s="23"/>
      <c r="B855" s="80" t="s">
        <v>424</v>
      </c>
      <c r="C855" s="231" t="s">
        <v>971</v>
      </c>
      <c r="D855" s="232"/>
      <c r="E855" s="232"/>
      <c r="F855" s="232"/>
      <c r="G855" s="232"/>
      <c r="H855" s="233"/>
      <c r="I855" s="233"/>
      <c r="J855" s="233"/>
      <c r="K855" s="233"/>
      <c r="L855" s="233"/>
      <c r="M855" s="233"/>
      <c r="N855" s="233"/>
      <c r="O855" s="234"/>
      <c r="P855" s="48"/>
    </row>
    <row r="856" spans="1:16" s="6" customFormat="1" ht="18.75" x14ac:dyDescent="0.25">
      <c r="A856" s="23"/>
      <c r="B856" s="235"/>
      <c r="C856" s="236"/>
      <c r="D856" s="236"/>
      <c r="E856" s="236"/>
      <c r="F856" s="236"/>
      <c r="G856" s="236"/>
      <c r="H856" s="236"/>
      <c r="I856" s="236"/>
      <c r="J856" s="236"/>
      <c r="K856" s="236"/>
      <c r="L856" s="236"/>
      <c r="M856" s="236"/>
      <c r="N856" s="236"/>
      <c r="O856" s="237"/>
      <c r="P856" s="48"/>
    </row>
    <row r="857" spans="1:16" s="6" customFormat="1" x14ac:dyDescent="0.25">
      <c r="A857" s="23"/>
      <c r="B857" s="9"/>
      <c r="C857" s="212"/>
      <c r="D857" s="3"/>
      <c r="E857" s="3"/>
      <c r="F857" s="3"/>
      <c r="G857" s="3"/>
      <c r="H857" s="21"/>
      <c r="I857" s="3"/>
      <c r="J857" s="73"/>
      <c r="K857" s="3"/>
      <c r="L857" s="3"/>
      <c r="M857" s="3"/>
      <c r="N857" s="13"/>
      <c r="O857" s="204"/>
      <c r="P857" s="48"/>
    </row>
    <row r="858" spans="1:16" s="6" customFormat="1" x14ac:dyDescent="0.25">
      <c r="A858" s="23"/>
      <c r="B858" s="9"/>
      <c r="C858" s="212"/>
      <c r="D858" s="3"/>
      <c r="E858" s="3"/>
      <c r="F858" s="3"/>
      <c r="G858" s="3"/>
      <c r="H858" s="21"/>
      <c r="I858" s="3"/>
      <c r="J858" s="73"/>
      <c r="K858" s="3"/>
      <c r="L858" s="3"/>
      <c r="M858" s="3"/>
      <c r="N858" s="13"/>
      <c r="O858" s="204"/>
      <c r="P858" s="48"/>
    </row>
    <row r="859" spans="1:16" s="6" customFormat="1" x14ac:dyDescent="0.25">
      <c r="A859" s="23"/>
      <c r="B859" s="9"/>
      <c r="C859" s="212"/>
      <c r="D859" s="3"/>
      <c r="E859" s="3"/>
      <c r="F859" s="3"/>
      <c r="G859" s="3"/>
      <c r="H859" s="21"/>
      <c r="I859" s="3"/>
      <c r="J859" s="73"/>
      <c r="K859" s="3"/>
      <c r="L859" s="3"/>
      <c r="M859" s="3"/>
      <c r="N859" s="13"/>
      <c r="O859" s="204"/>
      <c r="P859" s="48"/>
    </row>
    <row r="860" spans="1:16" s="6" customFormat="1" x14ac:dyDescent="0.25">
      <c r="B860" s="9"/>
      <c r="C860" s="212"/>
      <c r="D860" s="3"/>
      <c r="E860" s="3"/>
      <c r="F860" s="3"/>
      <c r="G860" s="3"/>
      <c r="H860" s="21"/>
      <c r="I860" s="3"/>
      <c r="J860" s="73"/>
      <c r="K860" s="3"/>
      <c r="L860" s="3"/>
      <c r="M860" s="3"/>
      <c r="N860" s="13"/>
      <c r="O860" s="204"/>
      <c r="P860" s="48"/>
    </row>
    <row r="861" spans="1:16" s="6" customFormat="1" x14ac:dyDescent="0.25">
      <c r="B861" s="9"/>
      <c r="C861" s="212"/>
      <c r="D861" s="3"/>
      <c r="E861" s="3"/>
      <c r="F861" s="3"/>
      <c r="G861" s="3"/>
      <c r="H861" s="21"/>
      <c r="I861" s="3"/>
      <c r="J861" s="73"/>
      <c r="K861" s="3"/>
      <c r="L861" s="3"/>
      <c r="M861" s="3"/>
      <c r="N861" s="13"/>
      <c r="O861" s="204"/>
      <c r="P861" s="78"/>
    </row>
    <row r="862" spans="1:16" s="6" customFormat="1" x14ac:dyDescent="0.25">
      <c r="B862" s="9"/>
      <c r="C862" s="212"/>
      <c r="D862" s="3"/>
      <c r="E862" s="3"/>
      <c r="F862" s="3"/>
      <c r="G862" s="3"/>
      <c r="H862" s="21"/>
      <c r="I862" s="3"/>
      <c r="J862" s="73"/>
      <c r="K862" s="3"/>
      <c r="L862" s="3"/>
      <c r="M862" s="3"/>
      <c r="N862" s="13"/>
      <c r="O862" s="204"/>
      <c r="P862" s="48"/>
    </row>
    <row r="863" spans="1:16" x14ac:dyDescent="0.25">
      <c r="P863" s="48"/>
    </row>
    <row r="864" spans="1:16" x14ac:dyDescent="0.25">
      <c r="P864" s="48"/>
    </row>
    <row r="865" spans="2:16" x14ac:dyDescent="0.25">
      <c r="P865" s="48"/>
    </row>
    <row r="866" spans="2:16" x14ac:dyDescent="0.25">
      <c r="P866" s="48"/>
    </row>
    <row r="867" spans="2:16" x14ac:dyDescent="0.25">
      <c r="P867" s="48"/>
    </row>
    <row r="868" spans="2:16" x14ac:dyDescent="0.25">
      <c r="P868" s="48"/>
    </row>
    <row r="869" spans="2:16" x14ac:dyDescent="0.25">
      <c r="P869" s="48"/>
    </row>
    <row r="870" spans="2:16" s="19" customFormat="1" x14ac:dyDescent="0.25">
      <c r="B870" s="9"/>
      <c r="C870" s="212"/>
      <c r="D870" s="3"/>
      <c r="E870" s="3"/>
      <c r="F870" s="3"/>
      <c r="G870" s="3"/>
      <c r="H870" s="21"/>
      <c r="I870" s="3"/>
      <c r="J870" s="73"/>
      <c r="K870" s="3"/>
      <c r="L870" s="3"/>
      <c r="M870" s="3"/>
      <c r="N870" s="13"/>
      <c r="O870" s="204"/>
      <c r="P870" s="48"/>
    </row>
    <row r="871" spans="2:16" x14ac:dyDescent="0.25">
      <c r="P871" s="48"/>
    </row>
    <row r="872" spans="2:16" s="73" customFormat="1" x14ac:dyDescent="0.25">
      <c r="B872" s="9"/>
      <c r="C872" s="212"/>
      <c r="D872" s="3"/>
      <c r="E872" s="3"/>
      <c r="F872" s="3"/>
      <c r="G872" s="3"/>
      <c r="H872" s="21"/>
      <c r="I872" s="3"/>
      <c r="K872" s="3"/>
      <c r="L872" s="3"/>
      <c r="M872" s="3"/>
      <c r="N872" s="13"/>
      <c r="O872" s="204"/>
      <c r="P872" s="78"/>
    </row>
    <row r="873" spans="2:16" x14ac:dyDescent="0.25">
      <c r="P873" s="48"/>
    </row>
    <row r="874" spans="2:16" x14ac:dyDescent="0.25">
      <c r="P874" s="48"/>
    </row>
    <row r="875" spans="2:16" x14ac:dyDescent="0.25">
      <c r="P875" s="48"/>
    </row>
    <row r="876" spans="2:16" x14ac:dyDescent="0.25">
      <c r="P876" s="48"/>
    </row>
    <row r="877" spans="2:16" x14ac:dyDescent="0.25">
      <c r="P877" s="48"/>
    </row>
    <row r="878" spans="2:16" x14ac:dyDescent="0.25">
      <c r="P878" s="48"/>
    </row>
    <row r="879" spans="2:16" x14ac:dyDescent="0.25">
      <c r="P879" s="48"/>
    </row>
    <row r="880" spans="2:16" s="73" customFormat="1" x14ac:dyDescent="0.25">
      <c r="B880" s="9"/>
      <c r="C880" s="212"/>
      <c r="D880" s="3"/>
      <c r="E880" s="3"/>
      <c r="F880" s="3"/>
      <c r="G880" s="3"/>
      <c r="H880" s="21"/>
      <c r="I880" s="3"/>
      <c r="K880" s="3"/>
      <c r="L880" s="3"/>
      <c r="M880" s="3"/>
      <c r="N880" s="13"/>
      <c r="O880" s="204"/>
      <c r="P880" s="78"/>
    </row>
    <row r="881" spans="2:16" x14ac:dyDescent="0.25">
      <c r="P881" s="48"/>
    </row>
    <row r="882" spans="2:16" x14ac:dyDescent="0.25">
      <c r="P882" s="48"/>
    </row>
    <row r="883" spans="2:16" x14ac:dyDescent="0.25">
      <c r="P883" s="48"/>
    </row>
    <row r="884" spans="2:16" x14ac:dyDescent="0.25">
      <c r="P884" s="48"/>
    </row>
    <row r="885" spans="2:16" x14ac:dyDescent="0.25">
      <c r="P885" s="48"/>
    </row>
    <row r="886" spans="2:16" x14ac:dyDescent="0.25">
      <c r="P886" s="48"/>
    </row>
    <row r="887" spans="2:16" x14ac:dyDescent="0.25">
      <c r="P887" s="48"/>
    </row>
    <row r="888" spans="2:16" s="73" customFormat="1" x14ac:dyDescent="0.25">
      <c r="B888" s="9"/>
      <c r="C888" s="212"/>
      <c r="D888" s="3"/>
      <c r="E888" s="3"/>
      <c r="F888" s="3"/>
      <c r="G888" s="3"/>
      <c r="H888" s="21"/>
      <c r="I888" s="3"/>
      <c r="K888" s="3"/>
      <c r="L888" s="3"/>
      <c r="M888" s="3"/>
      <c r="N888" s="13"/>
      <c r="O888" s="204"/>
      <c r="P888" s="78"/>
    </row>
    <row r="889" spans="2:16" x14ac:dyDescent="0.25">
      <c r="P889" s="48"/>
    </row>
    <row r="890" spans="2:16" x14ac:dyDescent="0.25">
      <c r="P890" s="48"/>
    </row>
    <row r="891" spans="2:16" x14ac:dyDescent="0.25">
      <c r="P891" s="48"/>
    </row>
    <row r="892" spans="2:16" x14ac:dyDescent="0.25">
      <c r="P892" s="48"/>
    </row>
    <row r="893" spans="2:16" x14ac:dyDescent="0.25">
      <c r="P893" s="48"/>
    </row>
    <row r="894" spans="2:16" x14ac:dyDescent="0.25">
      <c r="P894" s="46"/>
    </row>
    <row r="895" spans="2:16" x14ac:dyDescent="0.25">
      <c r="P895" s="48"/>
    </row>
    <row r="896" spans="2:16" x14ac:dyDescent="0.25">
      <c r="P896" s="48"/>
    </row>
    <row r="897" spans="2:16" x14ac:dyDescent="0.25">
      <c r="P897" s="46"/>
    </row>
    <row r="898" spans="2:16" x14ac:dyDescent="0.25">
      <c r="P898" s="48"/>
    </row>
    <row r="899" spans="2:16" x14ac:dyDescent="0.25">
      <c r="P899" s="48"/>
    </row>
    <row r="900" spans="2:16" s="6" customFormat="1" x14ac:dyDescent="0.25">
      <c r="B900" s="9"/>
      <c r="C900" s="212"/>
      <c r="D900" s="3"/>
      <c r="E900" s="3"/>
      <c r="F900" s="3"/>
      <c r="G900" s="3"/>
      <c r="H900" s="21"/>
      <c r="I900" s="3"/>
      <c r="J900" s="73"/>
      <c r="K900" s="3"/>
      <c r="L900" s="3"/>
      <c r="M900" s="3"/>
      <c r="N900" s="13"/>
      <c r="O900" s="204"/>
      <c r="P900" s="46"/>
    </row>
    <row r="901" spans="2:16" x14ac:dyDescent="0.25">
      <c r="P901" s="42"/>
    </row>
    <row r="902" spans="2:16" x14ac:dyDescent="0.25">
      <c r="P902" s="42"/>
    </row>
    <row r="903" spans="2:16" x14ac:dyDescent="0.25">
      <c r="P903" s="42"/>
    </row>
    <row r="904" spans="2:16" x14ac:dyDescent="0.25">
      <c r="P904" s="42"/>
    </row>
    <row r="905" spans="2:16" x14ac:dyDescent="0.25">
      <c r="P905" s="42"/>
    </row>
    <row r="906" spans="2:16" x14ac:dyDescent="0.25">
      <c r="P906" s="42"/>
    </row>
    <row r="907" spans="2:16" s="21" customFormat="1" x14ac:dyDescent="0.25">
      <c r="B907" s="9"/>
      <c r="C907" s="212"/>
      <c r="D907" s="3"/>
      <c r="E907" s="3"/>
      <c r="F907" s="3"/>
      <c r="G907" s="3"/>
      <c r="I907" s="3"/>
      <c r="J907" s="73"/>
      <c r="K907" s="3"/>
      <c r="L907" s="3"/>
      <c r="M907" s="3"/>
      <c r="N907" s="13"/>
      <c r="O907" s="204"/>
      <c r="P907" s="42"/>
    </row>
    <row r="908" spans="2:16" s="21" customFormat="1" x14ac:dyDescent="0.25">
      <c r="B908" s="9"/>
      <c r="C908" s="212"/>
      <c r="D908" s="3"/>
      <c r="E908" s="3"/>
      <c r="F908" s="3"/>
      <c r="G908" s="3"/>
      <c r="I908" s="3"/>
      <c r="J908" s="73"/>
      <c r="K908" s="3"/>
      <c r="L908" s="3"/>
      <c r="M908" s="3"/>
      <c r="N908" s="13"/>
      <c r="O908" s="204"/>
      <c r="P908" s="42"/>
    </row>
    <row r="909" spans="2:16" s="21" customFormat="1" x14ac:dyDescent="0.25">
      <c r="B909" s="9"/>
      <c r="C909" s="212"/>
      <c r="D909" s="3"/>
      <c r="E909" s="3"/>
      <c r="F909" s="3"/>
      <c r="G909" s="3"/>
      <c r="I909" s="3"/>
      <c r="J909" s="73"/>
      <c r="K909" s="3"/>
      <c r="L909" s="3"/>
      <c r="M909" s="3"/>
      <c r="N909" s="13"/>
      <c r="O909" s="204"/>
      <c r="P909" s="42"/>
    </row>
    <row r="910" spans="2:16" s="21" customFormat="1" x14ac:dyDescent="0.25">
      <c r="B910" s="9"/>
      <c r="C910" s="212"/>
      <c r="D910" s="3"/>
      <c r="E910" s="3"/>
      <c r="F910" s="3"/>
      <c r="G910" s="3"/>
      <c r="I910" s="3"/>
      <c r="J910" s="73"/>
      <c r="K910" s="3"/>
      <c r="L910" s="3"/>
      <c r="M910" s="3"/>
      <c r="N910" s="13"/>
      <c r="O910" s="204"/>
      <c r="P910" s="42"/>
    </row>
    <row r="911" spans="2:16" s="21" customFormat="1" x14ac:dyDescent="0.25">
      <c r="B911" s="9"/>
      <c r="C911" s="212"/>
      <c r="D911" s="3"/>
      <c r="E911" s="3"/>
      <c r="F911" s="3"/>
      <c r="G911" s="3"/>
      <c r="I911" s="3"/>
      <c r="J911" s="73"/>
      <c r="K911" s="3"/>
      <c r="L911" s="3"/>
      <c r="M911" s="3"/>
      <c r="N911" s="13"/>
      <c r="O911" s="204"/>
      <c r="P911" s="42"/>
    </row>
    <row r="912" spans="2:16" s="73" customFormat="1" x14ac:dyDescent="0.25">
      <c r="B912" s="9"/>
      <c r="C912" s="212"/>
      <c r="D912" s="3"/>
      <c r="E912" s="3"/>
      <c r="F912" s="3"/>
      <c r="G912" s="3"/>
      <c r="H912" s="21"/>
      <c r="I912" s="3"/>
      <c r="K912" s="3"/>
      <c r="L912" s="3"/>
      <c r="M912" s="3"/>
      <c r="N912" s="13"/>
      <c r="O912" s="204"/>
      <c r="P912" s="42"/>
    </row>
    <row r="913" spans="1:16" x14ac:dyDescent="0.25">
      <c r="P913" s="42"/>
    </row>
    <row r="914" spans="1:16" s="73" customFormat="1" x14ac:dyDescent="0.25">
      <c r="B914" s="9"/>
      <c r="C914" s="212"/>
      <c r="D914" s="3"/>
      <c r="E914" s="3"/>
      <c r="F914" s="3"/>
      <c r="G914" s="3"/>
      <c r="H914" s="21"/>
      <c r="I914" s="3"/>
      <c r="K914" s="3"/>
      <c r="L914" s="3"/>
      <c r="M914" s="3"/>
      <c r="N914" s="13"/>
      <c r="O914" s="204"/>
      <c r="P914" s="42"/>
    </row>
    <row r="915" spans="1:16" s="6" customFormat="1" x14ac:dyDescent="0.25">
      <c r="B915" s="9"/>
      <c r="C915" s="212"/>
      <c r="D915" s="3"/>
      <c r="E915" s="3"/>
      <c r="F915" s="3"/>
      <c r="G915" s="3"/>
      <c r="H915" s="21"/>
      <c r="I915" s="3"/>
      <c r="J915" s="73"/>
      <c r="K915" s="3"/>
      <c r="L915" s="3"/>
      <c r="M915" s="3"/>
      <c r="N915" s="13"/>
      <c r="O915" s="204"/>
      <c r="P915" s="46"/>
    </row>
    <row r="916" spans="1:16" s="6" customFormat="1" x14ac:dyDescent="0.25">
      <c r="A916" s="8"/>
      <c r="B916" s="9"/>
      <c r="C916" s="212"/>
      <c r="D916" s="3"/>
      <c r="E916" s="3"/>
      <c r="F916" s="3"/>
      <c r="G916" s="3"/>
      <c r="H916" s="21"/>
      <c r="I916" s="3"/>
      <c r="J916" s="73"/>
      <c r="K916" s="3"/>
      <c r="L916" s="3"/>
      <c r="M916" s="3"/>
      <c r="N916" s="13"/>
      <c r="O916" s="204"/>
      <c r="P916" s="46"/>
    </row>
    <row r="917" spans="1:16" s="6" customFormat="1" x14ac:dyDescent="0.25">
      <c r="A917" s="8"/>
      <c r="B917" s="9"/>
      <c r="C917" s="212"/>
      <c r="D917" s="3"/>
      <c r="E917" s="3"/>
      <c r="F917" s="3"/>
      <c r="G917" s="3"/>
      <c r="H917" s="21"/>
      <c r="I917" s="3"/>
      <c r="J917" s="73"/>
      <c r="K917" s="3"/>
      <c r="L917" s="3"/>
      <c r="M917" s="3"/>
      <c r="N917" s="13"/>
      <c r="O917" s="204"/>
      <c r="P917" s="42"/>
    </row>
    <row r="918" spans="1:16" s="6" customFormat="1" x14ac:dyDescent="0.25">
      <c r="A918" s="8"/>
      <c r="B918" s="9"/>
      <c r="C918" s="212"/>
      <c r="D918" s="3"/>
      <c r="E918" s="3"/>
      <c r="F918" s="3"/>
      <c r="G918" s="3"/>
      <c r="H918" s="21"/>
      <c r="I918" s="3"/>
      <c r="J918" s="73"/>
      <c r="K918" s="3"/>
      <c r="L918" s="3"/>
      <c r="M918" s="3"/>
      <c r="N918" s="13"/>
      <c r="O918" s="204"/>
      <c r="P918" s="42"/>
    </row>
    <row r="919" spans="1:16" s="6" customFormat="1" x14ac:dyDescent="0.25">
      <c r="A919" s="8"/>
      <c r="B919" s="9"/>
      <c r="C919" s="212"/>
      <c r="D919" s="3"/>
      <c r="E919" s="3"/>
      <c r="F919" s="3"/>
      <c r="G919" s="3"/>
      <c r="H919" s="21"/>
      <c r="I919" s="3"/>
      <c r="J919" s="73"/>
      <c r="K919" s="3"/>
      <c r="L919" s="3"/>
      <c r="M919" s="3"/>
      <c r="N919" s="13"/>
      <c r="O919" s="204"/>
      <c r="P919" s="42"/>
    </row>
    <row r="920" spans="1:16" s="6" customFormat="1" x14ac:dyDescent="0.25">
      <c r="A920" s="8"/>
      <c r="B920" s="9"/>
      <c r="C920" s="212"/>
      <c r="D920" s="3"/>
      <c r="E920" s="3"/>
      <c r="F920" s="3"/>
      <c r="G920" s="3"/>
      <c r="H920" s="21"/>
      <c r="I920" s="3"/>
      <c r="J920" s="73"/>
      <c r="K920" s="3"/>
      <c r="L920" s="3"/>
      <c r="M920" s="3"/>
      <c r="N920" s="13"/>
      <c r="O920" s="204"/>
      <c r="P920" s="46"/>
    </row>
    <row r="921" spans="1:16" s="6" customFormat="1" x14ac:dyDescent="0.25">
      <c r="A921" s="8"/>
      <c r="B921" s="9"/>
      <c r="C921" s="212"/>
      <c r="D921" s="3"/>
      <c r="E921" s="3"/>
      <c r="F921" s="3"/>
      <c r="G921" s="3"/>
      <c r="H921" s="21"/>
      <c r="I921" s="3"/>
      <c r="J921" s="73"/>
      <c r="K921" s="3"/>
      <c r="L921" s="3"/>
      <c r="M921" s="3"/>
      <c r="N921" s="13"/>
      <c r="O921" s="204"/>
      <c r="P921" s="42"/>
    </row>
    <row r="922" spans="1:16" s="6" customFormat="1" x14ac:dyDescent="0.25">
      <c r="A922" s="8"/>
      <c r="B922" s="9"/>
      <c r="C922" s="212"/>
      <c r="D922" s="3"/>
      <c r="E922" s="3"/>
      <c r="F922" s="3"/>
      <c r="G922" s="3"/>
      <c r="H922" s="21"/>
      <c r="I922" s="3"/>
      <c r="J922" s="73"/>
      <c r="K922" s="3"/>
      <c r="L922" s="3"/>
      <c r="M922" s="3"/>
      <c r="N922" s="13"/>
      <c r="O922" s="204"/>
      <c r="P922" s="42"/>
    </row>
    <row r="923" spans="1:16" s="6" customFormat="1" x14ac:dyDescent="0.25">
      <c r="A923" s="8"/>
      <c r="B923" s="9"/>
      <c r="C923" s="212"/>
      <c r="D923" s="3"/>
      <c r="E923" s="3"/>
      <c r="F923" s="3"/>
      <c r="G923" s="3"/>
      <c r="H923" s="21"/>
      <c r="I923" s="3"/>
      <c r="J923" s="73"/>
      <c r="K923" s="3"/>
      <c r="L923" s="3"/>
      <c r="M923" s="3"/>
      <c r="N923" s="13"/>
      <c r="O923" s="204"/>
      <c r="P923" s="42"/>
    </row>
    <row r="924" spans="1:16" s="6" customFormat="1" x14ac:dyDescent="0.25">
      <c r="A924" s="8"/>
      <c r="B924" s="9"/>
      <c r="C924" s="212"/>
      <c r="D924" s="3"/>
      <c r="E924" s="3"/>
      <c r="F924" s="3"/>
      <c r="G924" s="3"/>
      <c r="H924" s="21"/>
      <c r="I924" s="3"/>
      <c r="J924" s="73"/>
      <c r="K924" s="3"/>
      <c r="L924" s="3"/>
      <c r="M924" s="3"/>
      <c r="N924" s="13"/>
      <c r="O924" s="204"/>
      <c r="P924" s="42"/>
    </row>
    <row r="925" spans="1:16" s="6" customFormat="1" x14ac:dyDescent="0.25">
      <c r="A925" s="8"/>
      <c r="B925" s="9"/>
      <c r="C925" s="212"/>
      <c r="D925" s="3"/>
      <c r="E925" s="3"/>
      <c r="F925" s="3"/>
      <c r="G925" s="3"/>
      <c r="H925" s="21"/>
      <c r="I925" s="3"/>
      <c r="J925" s="73"/>
      <c r="K925" s="3"/>
      <c r="L925" s="3"/>
      <c r="M925" s="3"/>
      <c r="N925" s="13"/>
      <c r="O925" s="204"/>
      <c r="P925" s="48"/>
    </row>
    <row r="926" spans="1:16" s="6" customFormat="1" x14ac:dyDescent="0.25">
      <c r="A926" s="8"/>
      <c r="B926" s="9"/>
      <c r="C926" s="212"/>
      <c r="D926" s="3"/>
      <c r="E926" s="3"/>
      <c r="F926" s="3"/>
      <c r="G926" s="3"/>
      <c r="H926" s="21"/>
      <c r="I926" s="3"/>
      <c r="J926" s="73"/>
      <c r="K926" s="3"/>
      <c r="L926" s="3"/>
      <c r="M926" s="3"/>
      <c r="N926" s="13"/>
      <c r="O926" s="204"/>
      <c r="P926" s="48"/>
    </row>
    <row r="927" spans="1:16" s="6" customFormat="1" x14ac:dyDescent="0.25">
      <c r="A927" s="8"/>
      <c r="B927" s="9"/>
      <c r="C927" s="212"/>
      <c r="D927" s="3"/>
      <c r="E927" s="3"/>
      <c r="F927" s="3"/>
      <c r="G927" s="3"/>
      <c r="H927" s="21"/>
      <c r="I927" s="3"/>
      <c r="J927" s="73"/>
      <c r="K927" s="3"/>
      <c r="L927" s="3"/>
      <c r="M927" s="3"/>
      <c r="N927" s="13"/>
      <c r="O927" s="204"/>
      <c r="P927" s="42"/>
    </row>
    <row r="928" spans="1:16" s="6" customFormat="1" x14ac:dyDescent="0.25">
      <c r="B928" s="9"/>
      <c r="C928" s="212"/>
      <c r="D928" s="3"/>
      <c r="E928" s="3"/>
      <c r="F928" s="3"/>
      <c r="G928" s="3"/>
      <c r="H928" s="21"/>
      <c r="I928" s="3"/>
      <c r="J928" s="73"/>
      <c r="K928" s="3"/>
      <c r="L928" s="3"/>
      <c r="M928" s="3"/>
      <c r="N928" s="13"/>
      <c r="O928" s="204"/>
      <c r="P928" s="46"/>
    </row>
    <row r="929" spans="2:16" s="6" customFormat="1" x14ac:dyDescent="0.25">
      <c r="B929" s="9"/>
      <c r="C929" s="212"/>
      <c r="D929" s="3"/>
      <c r="E929" s="3"/>
      <c r="F929" s="3"/>
      <c r="G929" s="3"/>
      <c r="H929" s="21"/>
      <c r="I929" s="3"/>
      <c r="J929" s="73"/>
      <c r="K929" s="3"/>
      <c r="L929" s="3"/>
      <c r="M929" s="3"/>
      <c r="N929" s="13"/>
      <c r="O929" s="204"/>
      <c r="P929" s="42"/>
    </row>
    <row r="930" spans="2:16" x14ac:dyDescent="0.25">
      <c r="P930" s="42"/>
    </row>
    <row r="931" spans="2:16" x14ac:dyDescent="0.25">
      <c r="P931" s="42"/>
    </row>
    <row r="932" spans="2:16" x14ac:dyDescent="0.25">
      <c r="P932" s="42"/>
    </row>
    <row r="933" spans="2:16" s="15" customFormat="1" x14ac:dyDescent="0.25">
      <c r="B933" s="9"/>
      <c r="C933" s="212"/>
      <c r="D933" s="3"/>
      <c r="E933" s="3"/>
      <c r="F933" s="3"/>
      <c r="G933" s="3"/>
      <c r="H933" s="21"/>
      <c r="I933" s="3"/>
      <c r="J933" s="73"/>
      <c r="K933" s="3"/>
      <c r="L933" s="3"/>
      <c r="M933" s="3"/>
      <c r="N933" s="13"/>
      <c r="O933" s="204"/>
      <c r="P933" s="48"/>
    </row>
    <row r="934" spans="2:16" x14ac:dyDescent="0.25">
      <c r="P934" s="42"/>
    </row>
    <row r="935" spans="2:16" x14ac:dyDescent="0.25">
      <c r="P935" s="42"/>
    </row>
    <row r="936" spans="2:16" x14ac:dyDescent="0.25">
      <c r="P936" s="46"/>
    </row>
    <row r="937" spans="2:16" x14ac:dyDescent="0.25">
      <c r="P937" s="48"/>
    </row>
    <row r="938" spans="2:16" x14ac:dyDescent="0.25">
      <c r="P938" s="48"/>
    </row>
    <row r="939" spans="2:16" x14ac:dyDescent="0.25">
      <c r="P939" s="48"/>
    </row>
    <row r="940" spans="2:16" x14ac:dyDescent="0.25">
      <c r="P940" s="48"/>
    </row>
    <row r="941" spans="2:16" s="21" customFormat="1" x14ac:dyDescent="0.25">
      <c r="B941" s="9"/>
      <c r="C941" s="212"/>
      <c r="D941" s="3"/>
      <c r="E941" s="3"/>
      <c r="F941" s="3"/>
      <c r="G941" s="3"/>
      <c r="I941" s="3"/>
      <c r="J941" s="73"/>
      <c r="K941" s="3"/>
      <c r="L941" s="3"/>
      <c r="M941" s="3"/>
      <c r="N941" s="13"/>
      <c r="O941" s="204"/>
      <c r="P941" s="48"/>
    </row>
    <row r="942" spans="2:16" s="21" customFormat="1" x14ac:dyDescent="0.25">
      <c r="B942" s="9"/>
      <c r="C942" s="212"/>
      <c r="D942" s="3"/>
      <c r="E942" s="3"/>
      <c r="F942" s="3"/>
      <c r="G942" s="3"/>
      <c r="I942" s="3"/>
      <c r="J942" s="73"/>
      <c r="K942" s="3"/>
      <c r="L942" s="3"/>
      <c r="M942" s="3"/>
      <c r="N942" s="13"/>
      <c r="O942" s="204"/>
      <c r="P942" s="48"/>
    </row>
    <row r="943" spans="2:16" s="73" customFormat="1" x14ac:dyDescent="0.25">
      <c r="B943" s="9"/>
      <c r="C943" s="212"/>
      <c r="D943" s="3"/>
      <c r="E943" s="3"/>
      <c r="F943" s="3"/>
      <c r="G943" s="3"/>
      <c r="H943" s="21"/>
      <c r="I943" s="3"/>
      <c r="K943" s="3"/>
      <c r="L943" s="3"/>
      <c r="M943" s="3"/>
      <c r="N943" s="13"/>
      <c r="O943" s="204"/>
      <c r="P943" s="78"/>
    </row>
    <row r="944" spans="2:16" s="21" customFormat="1" x14ac:dyDescent="0.25">
      <c r="B944" s="9"/>
      <c r="C944" s="212"/>
      <c r="D944" s="3"/>
      <c r="E944" s="3"/>
      <c r="F944" s="3"/>
      <c r="G944" s="3"/>
      <c r="I944" s="3"/>
      <c r="J944" s="73"/>
      <c r="K944" s="3"/>
      <c r="L944" s="3"/>
      <c r="M944" s="3"/>
      <c r="N944" s="13"/>
      <c r="O944" s="204"/>
      <c r="P944" s="48"/>
    </row>
    <row r="945" spans="2:16" s="73" customFormat="1" x14ac:dyDescent="0.25">
      <c r="B945" s="9"/>
      <c r="C945" s="212"/>
      <c r="D945" s="3"/>
      <c r="E945" s="3"/>
      <c r="F945" s="3"/>
      <c r="G945" s="3"/>
      <c r="H945" s="21"/>
      <c r="I945" s="3"/>
      <c r="K945" s="3"/>
      <c r="L945" s="3"/>
      <c r="M945" s="3"/>
      <c r="N945" s="13"/>
      <c r="O945" s="204"/>
      <c r="P945" s="78"/>
    </row>
    <row r="946" spans="2:16" s="73" customFormat="1" x14ac:dyDescent="0.25">
      <c r="B946" s="9"/>
      <c r="C946" s="212"/>
      <c r="D946" s="3"/>
      <c r="E946" s="3"/>
      <c r="F946" s="3"/>
      <c r="G946" s="3"/>
      <c r="H946" s="21"/>
      <c r="I946" s="3"/>
      <c r="K946" s="3"/>
      <c r="L946" s="3"/>
      <c r="M946" s="3"/>
      <c r="N946" s="13"/>
      <c r="O946" s="204"/>
      <c r="P946" s="78"/>
    </row>
    <row r="947" spans="2:16" s="73" customFormat="1" x14ac:dyDescent="0.25">
      <c r="B947" s="9"/>
      <c r="C947" s="212"/>
      <c r="D947" s="3"/>
      <c r="E947" s="3"/>
      <c r="F947" s="3"/>
      <c r="G947" s="3"/>
      <c r="H947" s="21"/>
      <c r="I947" s="3"/>
      <c r="K947" s="3"/>
      <c r="L947" s="3"/>
      <c r="M947" s="3"/>
      <c r="N947" s="13"/>
      <c r="O947" s="204"/>
      <c r="P947" s="78"/>
    </row>
    <row r="948" spans="2:16" s="73" customFormat="1" x14ac:dyDescent="0.25">
      <c r="B948" s="9"/>
      <c r="C948" s="212"/>
      <c r="D948" s="3"/>
      <c r="E948" s="3"/>
      <c r="F948" s="3"/>
      <c r="G948" s="3"/>
      <c r="H948" s="21"/>
      <c r="I948" s="3"/>
      <c r="K948" s="3"/>
      <c r="L948" s="3"/>
      <c r="M948" s="3"/>
      <c r="N948" s="13"/>
      <c r="O948" s="204"/>
      <c r="P948" s="78"/>
    </row>
    <row r="949" spans="2:16" s="73" customFormat="1" x14ac:dyDescent="0.25">
      <c r="B949" s="9"/>
      <c r="C949" s="212"/>
      <c r="D949" s="3"/>
      <c r="E949" s="3"/>
      <c r="F949" s="3"/>
      <c r="G949" s="3"/>
      <c r="H949" s="21"/>
      <c r="I949" s="3"/>
      <c r="K949" s="3"/>
      <c r="L949" s="3"/>
      <c r="M949" s="3"/>
      <c r="N949" s="13"/>
      <c r="O949" s="204"/>
      <c r="P949" s="78"/>
    </row>
    <row r="950" spans="2:16" s="73" customFormat="1" x14ac:dyDescent="0.25">
      <c r="B950" s="9"/>
      <c r="C950" s="212"/>
      <c r="D950" s="3"/>
      <c r="E950" s="3"/>
      <c r="F950" s="3"/>
      <c r="G950" s="3"/>
      <c r="H950" s="21"/>
      <c r="I950" s="3"/>
      <c r="K950" s="3"/>
      <c r="L950" s="3"/>
      <c r="M950" s="3"/>
      <c r="N950" s="13"/>
      <c r="O950" s="204"/>
      <c r="P950" s="78"/>
    </row>
    <row r="951" spans="2:16" s="73" customFormat="1" x14ac:dyDescent="0.25">
      <c r="B951" s="9"/>
      <c r="C951" s="212"/>
      <c r="D951" s="3"/>
      <c r="E951" s="3"/>
      <c r="F951" s="3"/>
      <c r="G951" s="3"/>
      <c r="H951" s="21"/>
      <c r="I951" s="3"/>
      <c r="K951" s="3"/>
      <c r="L951" s="3"/>
      <c r="M951" s="3"/>
      <c r="N951" s="13"/>
      <c r="O951" s="204"/>
      <c r="P951" s="78"/>
    </row>
    <row r="952" spans="2:16" s="73" customFormat="1" x14ac:dyDescent="0.25">
      <c r="B952" s="9"/>
      <c r="C952" s="212"/>
      <c r="D952" s="3"/>
      <c r="E952" s="3"/>
      <c r="F952" s="3"/>
      <c r="G952" s="3"/>
      <c r="H952" s="21"/>
      <c r="I952" s="3"/>
      <c r="K952" s="3"/>
      <c r="L952" s="3"/>
      <c r="M952" s="3"/>
      <c r="N952" s="13"/>
      <c r="O952" s="204"/>
      <c r="P952" s="78"/>
    </row>
    <row r="953" spans="2:16" s="73" customFormat="1" x14ac:dyDescent="0.25">
      <c r="B953" s="9"/>
      <c r="C953" s="212"/>
      <c r="D953" s="3"/>
      <c r="E953" s="3"/>
      <c r="F953" s="3"/>
      <c r="G953" s="3"/>
      <c r="H953" s="21"/>
      <c r="I953" s="3"/>
      <c r="K953" s="3"/>
      <c r="L953" s="3"/>
      <c r="M953" s="3"/>
      <c r="N953" s="13"/>
      <c r="O953" s="204"/>
      <c r="P953" s="78"/>
    </row>
    <row r="954" spans="2:16" s="73" customFormat="1" x14ac:dyDescent="0.25">
      <c r="B954" s="9"/>
      <c r="C954" s="212"/>
      <c r="D954" s="3"/>
      <c r="E954" s="3"/>
      <c r="F954" s="3"/>
      <c r="G954" s="3"/>
      <c r="H954" s="21"/>
      <c r="I954" s="3"/>
      <c r="K954" s="3"/>
      <c r="L954" s="3"/>
      <c r="M954" s="3"/>
      <c r="N954" s="13"/>
      <c r="O954" s="204"/>
      <c r="P954" s="78"/>
    </row>
    <row r="955" spans="2:16" s="73" customFormat="1" x14ac:dyDescent="0.25">
      <c r="B955" s="9"/>
      <c r="C955" s="212"/>
      <c r="D955" s="3"/>
      <c r="E955" s="3"/>
      <c r="F955" s="3"/>
      <c r="G955" s="3"/>
      <c r="H955" s="21"/>
      <c r="I955" s="3"/>
      <c r="K955" s="3"/>
      <c r="L955" s="3"/>
      <c r="M955" s="3"/>
      <c r="N955" s="13"/>
      <c r="O955" s="204"/>
      <c r="P955" s="78"/>
    </row>
    <row r="956" spans="2:16" s="73" customFormat="1" x14ac:dyDescent="0.25">
      <c r="B956" s="9"/>
      <c r="C956" s="212"/>
      <c r="D956" s="3"/>
      <c r="E956" s="3"/>
      <c r="F956" s="3"/>
      <c r="G956" s="3"/>
      <c r="H956" s="21"/>
      <c r="I956" s="3"/>
      <c r="K956" s="3"/>
      <c r="L956" s="3"/>
      <c r="M956" s="3"/>
      <c r="N956" s="13"/>
      <c r="O956" s="204"/>
      <c r="P956" s="78"/>
    </row>
    <row r="957" spans="2:16" s="73" customFormat="1" x14ac:dyDescent="0.25">
      <c r="B957" s="9"/>
      <c r="C957" s="212"/>
      <c r="D957" s="3"/>
      <c r="E957" s="3"/>
      <c r="F957" s="3"/>
      <c r="G957" s="3"/>
      <c r="H957" s="21"/>
      <c r="I957" s="3"/>
      <c r="K957" s="3"/>
      <c r="L957" s="3"/>
      <c r="M957" s="3"/>
      <c r="N957" s="13"/>
      <c r="O957" s="204"/>
      <c r="P957" s="78"/>
    </row>
    <row r="958" spans="2:16" s="73" customFormat="1" x14ac:dyDescent="0.25">
      <c r="B958" s="9"/>
      <c r="C958" s="212"/>
      <c r="D958" s="3"/>
      <c r="E958" s="3"/>
      <c r="F958" s="3"/>
      <c r="G958" s="3"/>
      <c r="H958" s="21"/>
      <c r="I958" s="3"/>
      <c r="K958" s="3"/>
      <c r="L958" s="3"/>
      <c r="M958" s="3"/>
      <c r="N958" s="13"/>
      <c r="O958" s="204"/>
      <c r="P958" s="78"/>
    </row>
    <row r="959" spans="2:16" s="73" customFormat="1" x14ac:dyDescent="0.25">
      <c r="B959" s="9"/>
      <c r="C959" s="212"/>
      <c r="D959" s="3"/>
      <c r="E959" s="3"/>
      <c r="F959" s="3"/>
      <c r="G959" s="3"/>
      <c r="H959" s="21"/>
      <c r="I959" s="3"/>
      <c r="K959" s="3"/>
      <c r="L959" s="3"/>
      <c r="M959" s="3"/>
      <c r="N959" s="13"/>
      <c r="O959" s="204"/>
      <c r="P959" s="78"/>
    </row>
    <row r="960" spans="2:16" s="73" customFormat="1" x14ac:dyDescent="0.25">
      <c r="B960" s="9"/>
      <c r="C960" s="212"/>
      <c r="D960" s="3"/>
      <c r="E960" s="3"/>
      <c r="F960" s="3"/>
      <c r="G960" s="3"/>
      <c r="H960" s="21"/>
      <c r="I960" s="3"/>
      <c r="K960" s="3"/>
      <c r="L960" s="3"/>
      <c r="M960" s="3"/>
      <c r="N960" s="13"/>
      <c r="O960" s="204"/>
      <c r="P960" s="78"/>
    </row>
    <row r="961" spans="2:16" s="73" customFormat="1" x14ac:dyDescent="0.25">
      <c r="B961" s="9"/>
      <c r="C961" s="212"/>
      <c r="D961" s="3"/>
      <c r="E961" s="3"/>
      <c r="F961" s="3"/>
      <c r="G961" s="3"/>
      <c r="H961" s="21"/>
      <c r="I961" s="3"/>
      <c r="K961" s="3"/>
      <c r="L961" s="3"/>
      <c r="M961" s="3"/>
      <c r="N961" s="13"/>
      <c r="O961" s="204"/>
      <c r="P961" s="78"/>
    </row>
    <row r="962" spans="2:16" s="73" customFormat="1" x14ac:dyDescent="0.25">
      <c r="B962" s="9"/>
      <c r="C962" s="212"/>
      <c r="D962" s="3"/>
      <c r="E962" s="3"/>
      <c r="F962" s="3"/>
      <c r="G962" s="3"/>
      <c r="H962" s="21"/>
      <c r="I962" s="3"/>
      <c r="K962" s="3"/>
      <c r="L962" s="3"/>
      <c r="M962" s="3"/>
      <c r="N962" s="13"/>
      <c r="O962" s="204"/>
      <c r="P962" s="78"/>
    </row>
    <row r="963" spans="2:16" s="73" customFormat="1" x14ac:dyDescent="0.25">
      <c r="B963" s="9"/>
      <c r="C963" s="212"/>
      <c r="D963" s="3"/>
      <c r="E963" s="3"/>
      <c r="F963" s="3"/>
      <c r="G963" s="3"/>
      <c r="H963" s="21"/>
      <c r="I963" s="3"/>
      <c r="K963" s="3"/>
      <c r="L963" s="3"/>
      <c r="M963" s="3"/>
      <c r="N963" s="13"/>
      <c r="O963" s="204"/>
      <c r="P963" s="78"/>
    </row>
    <row r="964" spans="2:16" s="73" customFormat="1" x14ac:dyDescent="0.25">
      <c r="B964" s="9"/>
      <c r="C964" s="212"/>
      <c r="D964" s="3"/>
      <c r="E964" s="3"/>
      <c r="F964" s="3"/>
      <c r="G964" s="3"/>
      <c r="H964" s="21"/>
      <c r="I964" s="3"/>
      <c r="K964" s="3"/>
      <c r="L964" s="3"/>
      <c r="M964" s="3"/>
      <c r="N964" s="13"/>
      <c r="O964" s="204"/>
      <c r="P964" s="78"/>
    </row>
    <row r="965" spans="2:16" s="73" customFormat="1" x14ac:dyDescent="0.25">
      <c r="B965" s="9"/>
      <c r="C965" s="212"/>
      <c r="D965" s="3"/>
      <c r="E965" s="3"/>
      <c r="F965" s="3"/>
      <c r="G965" s="3"/>
      <c r="H965" s="21"/>
      <c r="I965" s="3"/>
      <c r="K965" s="3"/>
      <c r="L965" s="3"/>
      <c r="M965" s="3"/>
      <c r="N965" s="13"/>
      <c r="O965" s="204"/>
      <c r="P965" s="78"/>
    </row>
    <row r="966" spans="2:16" s="73" customFormat="1" x14ac:dyDescent="0.25">
      <c r="B966" s="9"/>
      <c r="C966" s="212"/>
      <c r="D966" s="3"/>
      <c r="E966" s="3"/>
      <c r="F966" s="3"/>
      <c r="G966" s="3"/>
      <c r="H966" s="21"/>
      <c r="I966" s="3"/>
      <c r="K966" s="3"/>
      <c r="L966" s="3"/>
      <c r="M966" s="3"/>
      <c r="N966" s="13"/>
      <c r="O966" s="204"/>
      <c r="P966" s="78"/>
    </row>
    <row r="967" spans="2:16" s="73" customFormat="1" x14ac:dyDescent="0.25">
      <c r="B967" s="9"/>
      <c r="C967" s="212"/>
      <c r="D967" s="3"/>
      <c r="E967" s="3"/>
      <c r="F967" s="3"/>
      <c r="G967" s="3"/>
      <c r="H967" s="21"/>
      <c r="I967" s="3"/>
      <c r="K967" s="3"/>
      <c r="L967" s="3"/>
      <c r="M967" s="3"/>
      <c r="N967" s="13"/>
      <c r="O967" s="204"/>
      <c r="P967" s="78"/>
    </row>
    <row r="968" spans="2:16" s="73" customFormat="1" x14ac:dyDescent="0.25">
      <c r="B968" s="9"/>
      <c r="C968" s="212"/>
      <c r="D968" s="3"/>
      <c r="E968" s="3"/>
      <c r="F968" s="3"/>
      <c r="G968" s="3"/>
      <c r="H968" s="21"/>
      <c r="I968" s="3"/>
      <c r="K968" s="3"/>
      <c r="L968" s="3"/>
      <c r="M968" s="3"/>
      <c r="N968" s="13"/>
      <c r="O968" s="204"/>
      <c r="P968" s="78"/>
    </row>
    <row r="969" spans="2:16" s="73" customFormat="1" x14ac:dyDescent="0.25">
      <c r="B969" s="9"/>
      <c r="C969" s="212"/>
      <c r="D969" s="3"/>
      <c r="E969" s="3"/>
      <c r="F969" s="3"/>
      <c r="G969" s="3"/>
      <c r="H969" s="21"/>
      <c r="I969" s="3"/>
      <c r="K969" s="3"/>
      <c r="L969" s="3"/>
      <c r="M969" s="3"/>
      <c r="N969" s="13"/>
      <c r="O969" s="204"/>
      <c r="P969" s="78"/>
    </row>
    <row r="970" spans="2:16" s="73" customFormat="1" x14ac:dyDescent="0.25">
      <c r="B970" s="9"/>
      <c r="C970" s="212"/>
      <c r="D970" s="3"/>
      <c r="E970" s="3"/>
      <c r="F970" s="3"/>
      <c r="G970" s="3"/>
      <c r="H970" s="21"/>
      <c r="I970" s="3"/>
      <c r="K970" s="3"/>
      <c r="L970" s="3"/>
      <c r="M970" s="3"/>
      <c r="N970" s="13"/>
      <c r="O970" s="204"/>
      <c r="P970" s="78"/>
    </row>
    <row r="971" spans="2:16" s="21" customFormat="1" x14ac:dyDescent="0.25">
      <c r="B971" s="9"/>
      <c r="C971" s="212"/>
      <c r="D971" s="3"/>
      <c r="E971" s="3"/>
      <c r="F971" s="3"/>
      <c r="G971" s="3"/>
      <c r="I971" s="3"/>
      <c r="J971" s="73"/>
      <c r="K971" s="3"/>
      <c r="L971" s="3"/>
      <c r="M971" s="3"/>
      <c r="N971" s="13"/>
      <c r="O971" s="204"/>
      <c r="P971" s="48"/>
    </row>
    <row r="972" spans="2:16" s="21" customFormat="1" x14ac:dyDescent="0.25">
      <c r="B972" s="9"/>
      <c r="C972" s="212"/>
      <c r="D972" s="3"/>
      <c r="E972" s="3"/>
      <c r="F972" s="3"/>
      <c r="G972" s="3"/>
      <c r="I972" s="3"/>
      <c r="J972" s="73"/>
      <c r="K972" s="3"/>
      <c r="L972" s="3"/>
      <c r="M972" s="3"/>
      <c r="N972" s="13"/>
      <c r="O972" s="204"/>
      <c r="P972" s="48"/>
    </row>
    <row r="973" spans="2:16" s="21" customFormat="1" x14ac:dyDescent="0.25">
      <c r="B973" s="9"/>
      <c r="C973" s="212"/>
      <c r="D973" s="3"/>
      <c r="E973" s="3"/>
      <c r="F973" s="3"/>
      <c r="G973" s="3"/>
      <c r="I973" s="3"/>
      <c r="J973" s="73"/>
      <c r="K973" s="3"/>
      <c r="L973" s="3"/>
      <c r="M973" s="3"/>
      <c r="N973" s="13"/>
      <c r="O973" s="204"/>
      <c r="P973" s="48"/>
    </row>
    <row r="974" spans="2:16" s="21" customFormat="1" x14ac:dyDescent="0.25">
      <c r="B974" s="9"/>
      <c r="C974" s="212"/>
      <c r="D974" s="3"/>
      <c r="E974" s="3"/>
      <c r="F974" s="3"/>
      <c r="G974" s="3"/>
      <c r="I974" s="3"/>
      <c r="J974" s="73"/>
      <c r="K974" s="3"/>
      <c r="L974" s="3"/>
      <c r="M974" s="3"/>
      <c r="N974" s="13"/>
      <c r="O974" s="204"/>
      <c r="P974" s="48"/>
    </row>
    <row r="975" spans="2:16" s="21" customFormat="1" x14ac:dyDescent="0.25">
      <c r="B975" s="9"/>
      <c r="C975" s="212"/>
      <c r="D975" s="3"/>
      <c r="E975" s="3"/>
      <c r="F975" s="3"/>
      <c r="G975" s="3"/>
      <c r="I975" s="3"/>
      <c r="J975" s="73"/>
      <c r="K975" s="3"/>
      <c r="L975" s="3"/>
      <c r="M975" s="3"/>
      <c r="N975" s="13"/>
      <c r="O975" s="204"/>
      <c r="P975" s="48"/>
    </row>
    <row r="976" spans="2:16" s="21" customFormat="1" x14ac:dyDescent="0.25">
      <c r="B976" s="9"/>
      <c r="C976" s="212"/>
      <c r="D976" s="3"/>
      <c r="E976" s="3"/>
      <c r="F976" s="3"/>
      <c r="G976" s="3"/>
      <c r="I976" s="3"/>
      <c r="J976" s="73"/>
      <c r="K976" s="3"/>
      <c r="L976" s="3"/>
      <c r="M976" s="3"/>
      <c r="N976" s="13"/>
      <c r="O976" s="204"/>
      <c r="P976" s="48"/>
    </row>
    <row r="977" spans="2:16" s="21" customFormat="1" x14ac:dyDescent="0.25">
      <c r="B977" s="9"/>
      <c r="C977" s="212"/>
      <c r="D977" s="3"/>
      <c r="E977" s="3"/>
      <c r="F977" s="3"/>
      <c r="G977" s="3"/>
      <c r="I977" s="3"/>
      <c r="J977" s="73"/>
      <c r="K977" s="3"/>
      <c r="L977" s="3"/>
      <c r="M977" s="3"/>
      <c r="N977" s="13"/>
      <c r="O977" s="204"/>
      <c r="P977" s="48"/>
    </row>
    <row r="978" spans="2:16" s="21" customFormat="1" x14ac:dyDescent="0.25">
      <c r="B978" s="9"/>
      <c r="C978" s="212"/>
      <c r="D978" s="3"/>
      <c r="E978" s="3"/>
      <c r="F978" s="3"/>
      <c r="G978" s="3"/>
      <c r="I978" s="3"/>
      <c r="J978" s="73"/>
      <c r="K978" s="3"/>
      <c r="L978" s="3"/>
      <c r="M978" s="3"/>
      <c r="N978" s="13"/>
      <c r="O978" s="204"/>
      <c r="P978" s="48"/>
    </row>
    <row r="979" spans="2:16" s="21" customFormat="1" x14ac:dyDescent="0.25">
      <c r="B979" s="9"/>
      <c r="C979" s="212"/>
      <c r="D979" s="3"/>
      <c r="E979" s="3"/>
      <c r="F979" s="3"/>
      <c r="G979" s="3"/>
      <c r="I979" s="3"/>
      <c r="J979" s="73"/>
      <c r="K979" s="3"/>
      <c r="L979" s="3"/>
      <c r="M979" s="3"/>
      <c r="N979" s="13"/>
      <c r="O979" s="204"/>
      <c r="P979" s="48"/>
    </row>
    <row r="980" spans="2:16" s="21" customFormat="1" x14ac:dyDescent="0.25">
      <c r="B980" s="9"/>
      <c r="C980" s="212"/>
      <c r="D980" s="3"/>
      <c r="E980" s="3"/>
      <c r="F980" s="3"/>
      <c r="G980" s="3"/>
      <c r="I980" s="3"/>
      <c r="J980" s="73"/>
      <c r="K980" s="3"/>
      <c r="L980" s="3"/>
      <c r="M980" s="3"/>
      <c r="N980" s="13"/>
      <c r="O980" s="204"/>
      <c r="P980" s="48"/>
    </row>
    <row r="981" spans="2:16" s="6" customFormat="1" x14ac:dyDescent="0.25">
      <c r="B981" s="9"/>
      <c r="C981" s="212"/>
      <c r="D981" s="3"/>
      <c r="E981" s="3"/>
      <c r="F981" s="3"/>
      <c r="G981" s="3"/>
      <c r="H981" s="21"/>
      <c r="I981" s="3"/>
      <c r="J981" s="73"/>
      <c r="K981" s="3"/>
      <c r="L981" s="3"/>
      <c r="M981" s="3"/>
      <c r="N981" s="13"/>
      <c r="O981" s="204"/>
      <c r="P981" s="46"/>
    </row>
    <row r="982" spans="2:16" s="6" customFormat="1" x14ac:dyDescent="0.25">
      <c r="B982" s="9"/>
      <c r="C982" s="212"/>
      <c r="D982" s="3"/>
      <c r="E982" s="3"/>
      <c r="F982" s="3"/>
      <c r="G982" s="3"/>
      <c r="H982" s="21"/>
      <c r="I982" s="3"/>
      <c r="J982" s="73"/>
      <c r="K982" s="3"/>
      <c r="L982" s="3"/>
      <c r="M982" s="3"/>
      <c r="N982" s="13"/>
      <c r="O982" s="204"/>
      <c r="P982" s="48"/>
    </row>
    <row r="983" spans="2:16" s="6" customFormat="1" x14ac:dyDescent="0.25">
      <c r="B983" s="9"/>
      <c r="C983" s="212"/>
      <c r="D983" s="3"/>
      <c r="E983" s="3"/>
      <c r="F983" s="3"/>
      <c r="G983" s="3"/>
      <c r="H983" s="21"/>
      <c r="I983" s="3"/>
      <c r="J983" s="73"/>
      <c r="K983" s="3"/>
      <c r="L983" s="3"/>
      <c r="M983" s="3"/>
      <c r="N983" s="13"/>
      <c r="O983" s="204"/>
      <c r="P983" s="48"/>
    </row>
    <row r="984" spans="2:16" s="6" customFormat="1" x14ac:dyDescent="0.25">
      <c r="B984" s="9"/>
      <c r="C984" s="212"/>
      <c r="D984" s="3"/>
      <c r="E984" s="3"/>
      <c r="F984" s="3"/>
      <c r="G984" s="3"/>
      <c r="H984" s="21"/>
      <c r="I984" s="3"/>
      <c r="J984" s="73"/>
      <c r="K984" s="3"/>
      <c r="L984" s="3"/>
      <c r="M984" s="3"/>
      <c r="N984" s="13"/>
      <c r="O984" s="204"/>
      <c r="P984" s="48"/>
    </row>
    <row r="985" spans="2:16" s="6" customFormat="1" x14ac:dyDescent="0.25">
      <c r="B985" s="9"/>
      <c r="C985" s="212"/>
      <c r="D985" s="3"/>
      <c r="E985" s="3"/>
      <c r="F985" s="3"/>
      <c r="G985" s="3"/>
      <c r="H985" s="21"/>
      <c r="I985" s="3"/>
      <c r="J985" s="73"/>
      <c r="K985" s="3"/>
      <c r="L985" s="3"/>
      <c r="M985" s="3"/>
      <c r="N985" s="13"/>
      <c r="O985" s="204"/>
      <c r="P985" s="48"/>
    </row>
    <row r="986" spans="2:16" s="6" customFormat="1" x14ac:dyDescent="0.25">
      <c r="B986" s="9"/>
      <c r="C986" s="212"/>
      <c r="D986" s="3"/>
      <c r="E986" s="3"/>
      <c r="F986" s="3"/>
      <c r="G986" s="3"/>
      <c r="H986" s="21"/>
      <c r="I986" s="3"/>
      <c r="J986" s="73"/>
      <c r="K986" s="3"/>
      <c r="L986" s="3"/>
      <c r="M986" s="3"/>
      <c r="N986" s="13"/>
      <c r="O986" s="204"/>
      <c r="P986" s="48"/>
    </row>
    <row r="987" spans="2:16" s="6" customFormat="1" x14ac:dyDescent="0.25">
      <c r="B987" s="9"/>
      <c r="C987" s="212"/>
      <c r="D987" s="3"/>
      <c r="E987" s="3"/>
      <c r="F987" s="3"/>
      <c r="G987" s="3"/>
      <c r="H987" s="21"/>
      <c r="I987" s="3"/>
      <c r="J987" s="73"/>
      <c r="K987" s="3"/>
      <c r="L987" s="3"/>
      <c r="M987" s="3"/>
      <c r="N987" s="13"/>
      <c r="O987" s="204"/>
      <c r="P987" s="48"/>
    </row>
    <row r="988" spans="2:16" s="6" customFormat="1" x14ac:dyDescent="0.25">
      <c r="B988" s="9"/>
      <c r="C988" s="212"/>
      <c r="D988" s="3"/>
      <c r="E988" s="3"/>
      <c r="F988" s="3"/>
      <c r="G988" s="3"/>
      <c r="H988" s="21"/>
      <c r="I988" s="3"/>
      <c r="J988" s="73"/>
      <c r="K988" s="3"/>
      <c r="L988" s="3"/>
      <c r="M988" s="3"/>
      <c r="N988" s="13"/>
      <c r="O988" s="204"/>
      <c r="P988" s="48"/>
    </row>
    <row r="989" spans="2:16" s="6" customFormat="1" x14ac:dyDescent="0.25">
      <c r="B989" s="9"/>
      <c r="C989" s="212"/>
      <c r="D989" s="3"/>
      <c r="E989" s="3"/>
      <c r="F989" s="3"/>
      <c r="G989" s="3"/>
      <c r="H989" s="21"/>
      <c r="I989" s="3"/>
      <c r="J989" s="73"/>
      <c r="K989" s="3"/>
      <c r="L989" s="3"/>
      <c r="M989" s="3"/>
      <c r="N989" s="13"/>
      <c r="O989" s="204"/>
      <c r="P989" s="48"/>
    </row>
    <row r="990" spans="2:16" s="6" customFormat="1" x14ac:dyDescent="0.25">
      <c r="B990" s="9"/>
      <c r="C990" s="212"/>
      <c r="D990" s="3"/>
      <c r="E990" s="3"/>
      <c r="F990" s="3"/>
      <c r="G990" s="3"/>
      <c r="H990" s="21"/>
      <c r="I990" s="3"/>
      <c r="J990" s="73"/>
      <c r="K990" s="3"/>
      <c r="L990" s="3"/>
      <c r="M990" s="3"/>
      <c r="N990" s="13"/>
      <c r="O990" s="204"/>
      <c r="P990" s="78"/>
    </row>
    <row r="991" spans="2:16" s="6" customFormat="1" x14ac:dyDescent="0.25">
      <c r="B991" s="9"/>
      <c r="C991" s="212"/>
      <c r="D991" s="3"/>
      <c r="E991" s="3"/>
      <c r="F991" s="3"/>
      <c r="G991" s="3"/>
      <c r="H991" s="21"/>
      <c r="I991" s="3"/>
      <c r="J991" s="73"/>
      <c r="K991" s="3"/>
      <c r="L991" s="3"/>
      <c r="M991" s="3"/>
      <c r="N991" s="13"/>
      <c r="O991" s="204"/>
      <c r="P991" s="48"/>
    </row>
    <row r="992" spans="2:16" s="6" customFormat="1" x14ac:dyDescent="0.25">
      <c r="B992" s="9"/>
      <c r="C992" s="212"/>
      <c r="D992" s="3"/>
      <c r="E992" s="3"/>
      <c r="F992" s="3"/>
      <c r="G992" s="3"/>
      <c r="H992" s="21"/>
      <c r="I992" s="3"/>
      <c r="J992" s="73"/>
      <c r="K992" s="3"/>
      <c r="L992" s="3"/>
      <c r="M992" s="3"/>
      <c r="N992" s="13"/>
      <c r="O992" s="204"/>
      <c r="P992" s="48"/>
    </row>
    <row r="993" spans="2:16" s="6" customFormat="1" x14ac:dyDescent="0.25">
      <c r="B993" s="9"/>
      <c r="C993" s="212"/>
      <c r="D993" s="3"/>
      <c r="E993" s="3"/>
      <c r="F993" s="3"/>
      <c r="G993" s="3"/>
      <c r="H993" s="21"/>
      <c r="I993" s="3"/>
      <c r="J993" s="73"/>
      <c r="K993" s="3"/>
      <c r="L993" s="3"/>
      <c r="M993" s="3"/>
      <c r="N993" s="13"/>
      <c r="O993" s="204"/>
      <c r="P993" s="48"/>
    </row>
    <row r="994" spans="2:16" s="6" customFormat="1" x14ac:dyDescent="0.25">
      <c r="B994" s="9"/>
      <c r="C994" s="212"/>
      <c r="D994" s="3"/>
      <c r="E994" s="3"/>
      <c r="F994" s="3"/>
      <c r="G994" s="3"/>
      <c r="H994" s="21"/>
      <c r="I994" s="3"/>
      <c r="J994" s="73"/>
      <c r="K994" s="3"/>
      <c r="L994" s="3"/>
      <c r="M994" s="3"/>
      <c r="N994" s="13"/>
      <c r="O994" s="204"/>
      <c r="P994" s="48"/>
    </row>
    <row r="995" spans="2:16" s="6" customFormat="1" x14ac:dyDescent="0.25">
      <c r="B995" s="9"/>
      <c r="C995" s="212"/>
      <c r="D995" s="3"/>
      <c r="E995" s="3"/>
      <c r="F995" s="3"/>
      <c r="G995" s="3"/>
      <c r="H995" s="21"/>
      <c r="I995" s="3"/>
      <c r="J995" s="73"/>
      <c r="K995" s="3"/>
      <c r="L995" s="3"/>
      <c r="M995" s="3"/>
      <c r="N995" s="13"/>
      <c r="O995" s="204"/>
      <c r="P995" s="48"/>
    </row>
    <row r="996" spans="2:16" s="6" customFormat="1" x14ac:dyDescent="0.25">
      <c r="B996" s="9"/>
      <c r="C996" s="212"/>
      <c r="D996" s="3"/>
      <c r="E996" s="3"/>
      <c r="F996" s="3"/>
      <c r="G996" s="3"/>
      <c r="H996" s="21"/>
      <c r="I996" s="3"/>
      <c r="J996" s="73"/>
      <c r="K996" s="3"/>
      <c r="L996" s="3"/>
      <c r="M996" s="3"/>
      <c r="N996" s="13"/>
      <c r="O996" s="204"/>
      <c r="P996" s="48"/>
    </row>
    <row r="997" spans="2:16" s="6" customFormat="1" x14ac:dyDescent="0.25">
      <c r="B997" s="9"/>
      <c r="C997" s="212"/>
      <c r="D997" s="3"/>
      <c r="E997" s="3"/>
      <c r="F997" s="3"/>
      <c r="G997" s="3"/>
      <c r="H997" s="21"/>
      <c r="I997" s="3"/>
      <c r="J997" s="73"/>
      <c r="K997" s="3"/>
      <c r="L997" s="3"/>
      <c r="M997" s="3"/>
      <c r="N997" s="13"/>
      <c r="O997" s="204"/>
      <c r="P997" s="78"/>
    </row>
    <row r="998" spans="2:16" s="6" customFormat="1" x14ac:dyDescent="0.25">
      <c r="B998" s="9"/>
      <c r="C998" s="212"/>
      <c r="D998" s="3"/>
      <c r="E998" s="3"/>
      <c r="F998" s="3"/>
      <c r="G998" s="3"/>
      <c r="H998" s="21"/>
      <c r="I998" s="3"/>
      <c r="J998" s="73"/>
      <c r="K998" s="3"/>
      <c r="L998" s="3"/>
      <c r="M998" s="3"/>
      <c r="N998" s="13"/>
      <c r="O998" s="204"/>
      <c r="P998" s="46"/>
    </row>
    <row r="999" spans="2:16" s="6" customFormat="1" x14ac:dyDescent="0.25">
      <c r="B999" s="9"/>
      <c r="C999" s="212"/>
      <c r="D999" s="3"/>
      <c r="E999" s="3"/>
      <c r="F999" s="3"/>
      <c r="G999" s="3"/>
      <c r="H999" s="21"/>
      <c r="I999" s="3"/>
      <c r="J999" s="73"/>
      <c r="K999" s="3"/>
      <c r="L999" s="3"/>
      <c r="M999" s="3"/>
      <c r="N999" s="13"/>
      <c r="O999" s="204"/>
      <c r="P999" s="46"/>
    </row>
    <row r="1000" spans="2:16" s="6" customFormat="1" x14ac:dyDescent="0.25">
      <c r="B1000" s="9"/>
      <c r="C1000" s="212"/>
      <c r="D1000" s="3"/>
      <c r="E1000" s="3"/>
      <c r="F1000" s="3"/>
      <c r="G1000" s="3"/>
      <c r="H1000" s="21"/>
      <c r="I1000" s="3"/>
      <c r="J1000" s="73"/>
      <c r="K1000" s="3"/>
      <c r="L1000" s="3"/>
      <c r="M1000" s="3"/>
      <c r="N1000" s="13"/>
      <c r="O1000" s="204"/>
      <c r="P1000" s="46"/>
    </row>
    <row r="1001" spans="2:16" s="6" customFormat="1" x14ac:dyDescent="0.25">
      <c r="B1001" s="9"/>
      <c r="C1001" s="212"/>
      <c r="D1001" s="3"/>
      <c r="E1001" s="3"/>
      <c r="F1001" s="3"/>
      <c r="G1001" s="3"/>
      <c r="H1001" s="21"/>
      <c r="I1001" s="3"/>
      <c r="J1001" s="73"/>
      <c r="K1001" s="3"/>
      <c r="L1001" s="3"/>
      <c r="M1001" s="3"/>
      <c r="N1001" s="13"/>
      <c r="O1001" s="204"/>
      <c r="P1001" s="46"/>
    </row>
    <row r="1002" spans="2:16" s="6" customFormat="1" x14ac:dyDescent="0.25">
      <c r="B1002" s="9"/>
      <c r="C1002" s="212"/>
      <c r="D1002" s="3"/>
      <c r="E1002" s="3"/>
      <c r="F1002" s="3"/>
      <c r="G1002" s="3"/>
      <c r="H1002" s="21"/>
      <c r="I1002" s="3"/>
      <c r="J1002" s="73"/>
      <c r="K1002" s="3"/>
      <c r="L1002" s="3"/>
      <c r="M1002" s="3"/>
      <c r="N1002" s="13"/>
      <c r="O1002" s="204"/>
      <c r="P1002" s="46"/>
    </row>
    <row r="1003" spans="2:16" s="6" customFormat="1" x14ac:dyDescent="0.25">
      <c r="B1003" s="9"/>
      <c r="C1003" s="212"/>
      <c r="D1003" s="3"/>
      <c r="E1003" s="3"/>
      <c r="F1003" s="3"/>
      <c r="G1003" s="3"/>
      <c r="H1003" s="21"/>
      <c r="I1003" s="3"/>
      <c r="J1003" s="73"/>
      <c r="K1003" s="3"/>
      <c r="L1003" s="3"/>
      <c r="M1003" s="3"/>
      <c r="N1003" s="13"/>
      <c r="O1003" s="204"/>
      <c r="P1003" s="46"/>
    </row>
    <row r="1004" spans="2:16" s="6" customFormat="1" x14ac:dyDescent="0.25">
      <c r="B1004" s="9"/>
      <c r="C1004" s="212"/>
      <c r="D1004" s="3"/>
      <c r="E1004" s="3"/>
      <c r="F1004" s="3"/>
      <c r="G1004" s="3"/>
      <c r="H1004" s="21"/>
      <c r="I1004" s="3"/>
      <c r="J1004" s="73"/>
      <c r="K1004" s="3"/>
      <c r="L1004" s="3"/>
      <c r="M1004" s="3"/>
      <c r="N1004" s="13"/>
      <c r="O1004" s="204"/>
      <c r="P1004" s="46"/>
    </row>
    <row r="1005" spans="2:16" s="6" customFormat="1" x14ac:dyDescent="0.25">
      <c r="B1005" s="9"/>
      <c r="C1005" s="212"/>
      <c r="D1005" s="3"/>
      <c r="E1005" s="3"/>
      <c r="F1005" s="3"/>
      <c r="G1005" s="3"/>
      <c r="H1005" s="21"/>
      <c r="I1005" s="3"/>
      <c r="J1005" s="73"/>
      <c r="K1005" s="3"/>
      <c r="L1005" s="3"/>
      <c r="M1005" s="3"/>
      <c r="N1005" s="13"/>
      <c r="O1005" s="204"/>
      <c r="P1005" s="46"/>
    </row>
    <row r="1006" spans="2:16" s="6" customFormat="1" x14ac:dyDescent="0.25">
      <c r="B1006" s="9"/>
      <c r="C1006" s="212"/>
      <c r="D1006" s="3"/>
      <c r="E1006" s="3"/>
      <c r="F1006" s="3"/>
      <c r="G1006" s="3"/>
      <c r="H1006" s="21"/>
      <c r="I1006" s="3"/>
      <c r="J1006" s="73"/>
      <c r="K1006" s="3"/>
      <c r="L1006" s="3"/>
      <c r="M1006" s="3"/>
      <c r="N1006" s="13"/>
      <c r="O1006" s="204"/>
      <c r="P1006" s="46"/>
    </row>
    <row r="1007" spans="2:16" s="6" customFormat="1" x14ac:dyDescent="0.25">
      <c r="B1007" s="9"/>
      <c r="C1007" s="212"/>
      <c r="D1007" s="3"/>
      <c r="E1007" s="3"/>
      <c r="F1007" s="3"/>
      <c r="G1007" s="3"/>
      <c r="H1007" s="21"/>
      <c r="I1007" s="3"/>
      <c r="J1007" s="73"/>
      <c r="K1007" s="3"/>
      <c r="L1007" s="3"/>
      <c r="M1007" s="3"/>
      <c r="N1007" s="13"/>
      <c r="O1007" s="204"/>
      <c r="P1007" s="46"/>
    </row>
    <row r="1008" spans="2:16" s="6" customFormat="1" x14ac:dyDescent="0.25">
      <c r="B1008" s="9"/>
      <c r="C1008" s="212"/>
      <c r="D1008" s="3"/>
      <c r="E1008" s="3"/>
      <c r="F1008" s="3"/>
      <c r="G1008" s="3"/>
      <c r="H1008" s="21"/>
      <c r="I1008" s="3"/>
      <c r="J1008" s="73"/>
      <c r="K1008" s="3"/>
      <c r="L1008" s="3"/>
      <c r="M1008" s="3"/>
      <c r="N1008" s="13"/>
      <c r="O1008" s="204"/>
      <c r="P1008" s="48"/>
    </row>
    <row r="1009" spans="2:16" s="6" customFormat="1" x14ac:dyDescent="0.25">
      <c r="B1009" s="9"/>
      <c r="C1009" s="212"/>
      <c r="D1009" s="3"/>
      <c r="E1009" s="3"/>
      <c r="F1009" s="3"/>
      <c r="G1009" s="3"/>
      <c r="H1009" s="21"/>
      <c r="I1009" s="3"/>
      <c r="J1009" s="73"/>
      <c r="K1009" s="3"/>
      <c r="L1009" s="3"/>
      <c r="M1009" s="3"/>
      <c r="N1009" s="13"/>
      <c r="O1009" s="204"/>
      <c r="P1009" s="46"/>
    </row>
    <row r="1010" spans="2:16" x14ac:dyDescent="0.25">
      <c r="P1010" s="48"/>
    </row>
    <row r="1011" spans="2:16" x14ac:dyDescent="0.25">
      <c r="P1011" s="48"/>
    </row>
    <row r="1012" spans="2:16" x14ac:dyDescent="0.25">
      <c r="P1012" s="42"/>
    </row>
    <row r="1013" spans="2:16" x14ac:dyDescent="0.25">
      <c r="P1013" s="44"/>
    </row>
    <row r="1014" spans="2:16" x14ac:dyDescent="0.25">
      <c r="P1014" s="48"/>
    </row>
    <row r="1015" spans="2:16" x14ac:dyDescent="0.25">
      <c r="P1015" s="42"/>
    </row>
    <row r="1016" spans="2:16" s="11" customFormat="1" x14ac:dyDescent="0.25">
      <c r="B1016" s="9"/>
      <c r="C1016" s="212"/>
      <c r="D1016" s="3"/>
      <c r="E1016" s="3"/>
      <c r="F1016" s="3"/>
      <c r="G1016" s="3"/>
      <c r="H1016" s="21"/>
      <c r="I1016" s="3"/>
      <c r="J1016" s="73"/>
      <c r="K1016" s="3"/>
      <c r="L1016" s="3"/>
      <c r="M1016" s="3"/>
      <c r="N1016" s="13"/>
      <c r="O1016" s="204"/>
      <c r="P1016" s="46"/>
    </row>
    <row r="1017" spans="2:16" s="11" customFormat="1" x14ac:dyDescent="0.25">
      <c r="B1017" s="9"/>
      <c r="C1017" s="212"/>
      <c r="D1017" s="3"/>
      <c r="E1017" s="3"/>
      <c r="F1017" s="3"/>
      <c r="G1017" s="3"/>
      <c r="H1017" s="21"/>
      <c r="I1017" s="3"/>
      <c r="J1017" s="73"/>
      <c r="K1017" s="3"/>
      <c r="L1017" s="3"/>
      <c r="M1017" s="3"/>
      <c r="N1017" s="13"/>
      <c r="O1017" s="204"/>
      <c r="P1017" s="42"/>
    </row>
    <row r="1018" spans="2:16" s="11" customFormat="1" x14ac:dyDescent="0.25">
      <c r="B1018" s="9"/>
      <c r="C1018" s="212"/>
      <c r="D1018" s="3"/>
      <c r="E1018" s="3"/>
      <c r="F1018" s="3"/>
      <c r="G1018" s="3"/>
      <c r="H1018" s="21"/>
      <c r="I1018" s="3"/>
      <c r="J1018" s="73"/>
      <c r="K1018" s="3"/>
      <c r="L1018" s="3"/>
      <c r="M1018" s="3"/>
      <c r="N1018" s="13"/>
      <c r="O1018" s="204"/>
      <c r="P1018" s="44"/>
    </row>
    <row r="1019" spans="2:16" s="73" customFormat="1" x14ac:dyDescent="0.25">
      <c r="B1019" s="9"/>
      <c r="C1019" s="212"/>
      <c r="D1019" s="3"/>
      <c r="E1019" s="3"/>
      <c r="F1019" s="3"/>
      <c r="G1019" s="3"/>
      <c r="H1019" s="21"/>
      <c r="I1019" s="3"/>
      <c r="K1019" s="3"/>
      <c r="L1019" s="3"/>
      <c r="M1019" s="3"/>
      <c r="N1019" s="13"/>
      <c r="O1019" s="204"/>
      <c r="P1019" s="77"/>
    </row>
    <row r="1020" spans="2:16" x14ac:dyDescent="0.25">
      <c r="P1020" s="42"/>
    </row>
    <row r="1021" spans="2:16" s="6" customFormat="1" x14ac:dyDescent="0.25">
      <c r="B1021" s="9"/>
      <c r="C1021" s="212"/>
      <c r="D1021" s="3"/>
      <c r="E1021" s="3"/>
      <c r="F1021" s="3"/>
      <c r="G1021" s="3"/>
      <c r="H1021" s="21"/>
      <c r="I1021" s="3"/>
      <c r="J1021" s="73"/>
      <c r="K1021" s="3"/>
      <c r="L1021" s="3"/>
      <c r="M1021" s="3"/>
      <c r="N1021" s="13"/>
      <c r="O1021" s="204"/>
      <c r="P1021" s="46"/>
    </row>
    <row r="1022" spans="2:16" s="6" customFormat="1" x14ac:dyDescent="0.25">
      <c r="B1022" s="9"/>
      <c r="C1022" s="212"/>
      <c r="D1022" s="3"/>
      <c r="E1022" s="3"/>
      <c r="F1022" s="3"/>
      <c r="G1022" s="3"/>
      <c r="H1022" s="21"/>
      <c r="I1022" s="3"/>
      <c r="J1022" s="73"/>
      <c r="K1022" s="3"/>
      <c r="L1022" s="3"/>
      <c r="M1022" s="3"/>
      <c r="N1022" s="13"/>
      <c r="O1022" s="204"/>
      <c r="P1022" s="42"/>
    </row>
    <row r="1023" spans="2:16" s="6" customFormat="1" x14ac:dyDescent="0.25">
      <c r="B1023" s="9"/>
      <c r="C1023" s="212"/>
      <c r="D1023" s="3"/>
      <c r="E1023" s="3"/>
      <c r="F1023" s="3"/>
      <c r="G1023" s="3"/>
      <c r="H1023" s="21"/>
      <c r="I1023" s="3"/>
      <c r="J1023" s="73"/>
      <c r="K1023" s="3"/>
      <c r="L1023" s="3"/>
      <c r="M1023" s="3"/>
      <c r="N1023" s="13"/>
      <c r="O1023" s="204"/>
      <c r="P1023" s="42"/>
    </row>
    <row r="1024" spans="2:16" s="6" customFormat="1" x14ac:dyDescent="0.25">
      <c r="B1024" s="9"/>
      <c r="C1024" s="212"/>
      <c r="D1024" s="3"/>
      <c r="E1024" s="3"/>
      <c r="F1024" s="3"/>
      <c r="G1024" s="3"/>
      <c r="H1024" s="21"/>
      <c r="I1024" s="3"/>
      <c r="J1024" s="73"/>
      <c r="K1024" s="3"/>
      <c r="L1024" s="3"/>
      <c r="M1024" s="3"/>
      <c r="N1024" s="13"/>
      <c r="O1024" s="204"/>
      <c r="P1024" s="42"/>
    </row>
    <row r="1025" spans="2:16" s="6" customFormat="1" x14ac:dyDescent="0.25">
      <c r="B1025" s="9"/>
      <c r="C1025" s="212"/>
      <c r="D1025" s="3"/>
      <c r="E1025" s="3"/>
      <c r="F1025" s="3"/>
      <c r="G1025" s="3"/>
      <c r="H1025" s="21"/>
      <c r="I1025" s="3"/>
      <c r="J1025" s="73"/>
      <c r="K1025" s="3"/>
      <c r="L1025" s="3"/>
      <c r="M1025" s="3"/>
      <c r="N1025" s="13"/>
      <c r="O1025" s="204"/>
      <c r="P1025" s="42"/>
    </row>
    <row r="1026" spans="2:16" s="15" customFormat="1" x14ac:dyDescent="0.25">
      <c r="B1026" s="9"/>
      <c r="C1026" s="212"/>
      <c r="D1026" s="3"/>
      <c r="E1026" s="3"/>
      <c r="F1026" s="3"/>
      <c r="G1026" s="3"/>
      <c r="H1026" s="21"/>
      <c r="I1026" s="3"/>
      <c r="J1026" s="73"/>
      <c r="K1026" s="3"/>
      <c r="L1026" s="3"/>
      <c r="M1026" s="3"/>
      <c r="N1026" s="13"/>
      <c r="O1026" s="204"/>
      <c r="P1026" s="44"/>
    </row>
    <row r="1027" spans="2:16" s="15" customFormat="1" x14ac:dyDescent="0.25">
      <c r="B1027" s="9"/>
      <c r="C1027" s="212"/>
      <c r="D1027" s="3"/>
      <c r="E1027" s="3"/>
      <c r="F1027" s="3"/>
      <c r="G1027" s="3"/>
      <c r="H1027" s="21"/>
      <c r="I1027" s="3"/>
      <c r="J1027" s="73"/>
      <c r="K1027" s="3"/>
      <c r="L1027" s="3"/>
      <c r="M1027" s="3"/>
      <c r="N1027" s="13"/>
      <c r="O1027" s="204"/>
      <c r="P1027" s="42"/>
    </row>
    <row r="1028" spans="2:16" s="21" customFormat="1" x14ac:dyDescent="0.25">
      <c r="B1028" s="9"/>
      <c r="C1028" s="212"/>
      <c r="D1028" s="3"/>
      <c r="E1028" s="3"/>
      <c r="F1028" s="3"/>
      <c r="G1028" s="3"/>
      <c r="I1028" s="3"/>
      <c r="J1028" s="73"/>
      <c r="K1028" s="3"/>
      <c r="L1028" s="3"/>
      <c r="M1028" s="3"/>
      <c r="N1028" s="13"/>
      <c r="O1028" s="204"/>
      <c r="P1028" s="44"/>
    </row>
    <row r="1029" spans="2:16" s="21" customFormat="1" x14ac:dyDescent="0.25">
      <c r="B1029" s="9"/>
      <c r="C1029" s="212"/>
      <c r="D1029" s="3"/>
      <c r="E1029" s="3"/>
      <c r="F1029" s="3"/>
      <c r="G1029" s="3"/>
      <c r="I1029" s="3"/>
      <c r="J1029" s="73"/>
      <c r="K1029" s="3"/>
      <c r="L1029" s="3"/>
      <c r="M1029" s="3"/>
      <c r="N1029" s="13"/>
      <c r="O1029" s="204"/>
      <c r="P1029" s="44"/>
    </row>
    <row r="1030" spans="2:16" s="21" customFormat="1" x14ac:dyDescent="0.25">
      <c r="B1030" s="9"/>
      <c r="C1030" s="212"/>
      <c r="D1030" s="3"/>
      <c r="E1030" s="3"/>
      <c r="F1030" s="3"/>
      <c r="G1030" s="3"/>
      <c r="I1030" s="3"/>
      <c r="J1030" s="73"/>
      <c r="K1030" s="3"/>
      <c r="L1030" s="3"/>
      <c r="M1030" s="3"/>
      <c r="N1030" s="13"/>
      <c r="O1030" s="204"/>
      <c r="P1030" s="44"/>
    </row>
    <row r="1031" spans="2:16" s="15" customFormat="1" x14ac:dyDescent="0.25">
      <c r="B1031" s="9"/>
      <c r="C1031" s="212"/>
      <c r="D1031" s="3"/>
      <c r="E1031" s="3"/>
      <c r="F1031" s="3"/>
      <c r="G1031" s="3"/>
      <c r="H1031" s="21"/>
      <c r="I1031" s="3"/>
      <c r="J1031" s="73"/>
      <c r="K1031" s="3"/>
      <c r="L1031" s="3"/>
      <c r="M1031" s="3"/>
      <c r="N1031" s="13"/>
      <c r="O1031" s="204"/>
      <c r="P1031" s="42"/>
    </row>
    <row r="1032" spans="2:16" s="21" customFormat="1" x14ac:dyDescent="0.25">
      <c r="B1032" s="9"/>
      <c r="C1032" s="212"/>
      <c r="D1032" s="3"/>
      <c r="E1032" s="3"/>
      <c r="F1032" s="3"/>
      <c r="G1032" s="3"/>
      <c r="I1032" s="3"/>
      <c r="J1032" s="73"/>
      <c r="K1032" s="3"/>
      <c r="L1032" s="3"/>
      <c r="M1032" s="3"/>
      <c r="N1032" s="13"/>
      <c r="O1032" s="204"/>
      <c r="P1032" s="44"/>
    </row>
    <row r="1033" spans="2:16" s="15" customFormat="1" x14ac:dyDescent="0.25">
      <c r="B1033" s="9"/>
      <c r="C1033" s="212"/>
      <c r="D1033" s="3"/>
      <c r="E1033" s="3"/>
      <c r="F1033" s="3"/>
      <c r="G1033" s="3"/>
      <c r="H1033" s="21"/>
      <c r="I1033" s="3"/>
      <c r="J1033" s="73"/>
      <c r="K1033" s="3"/>
      <c r="L1033" s="3"/>
      <c r="M1033" s="3"/>
      <c r="N1033" s="13"/>
      <c r="O1033" s="204"/>
      <c r="P1033" s="44"/>
    </row>
    <row r="1034" spans="2:16" x14ac:dyDescent="0.25">
      <c r="P1034" s="42"/>
    </row>
    <row r="1035" spans="2:16" x14ac:dyDescent="0.25">
      <c r="P1035" s="42"/>
    </row>
    <row r="1036" spans="2:16" x14ac:dyDescent="0.25">
      <c r="P1036" s="46"/>
    </row>
    <row r="1037" spans="2:16" s="73" customFormat="1" x14ac:dyDescent="0.25">
      <c r="B1037" s="9"/>
      <c r="C1037" s="212"/>
      <c r="D1037" s="3"/>
      <c r="E1037" s="3"/>
      <c r="F1037" s="3"/>
      <c r="G1037" s="3"/>
      <c r="H1037" s="21"/>
      <c r="I1037" s="3"/>
      <c r="K1037" s="3"/>
      <c r="L1037" s="3"/>
      <c r="M1037" s="3"/>
      <c r="N1037" s="13"/>
      <c r="O1037" s="204"/>
      <c r="P1037" s="46"/>
    </row>
    <row r="1038" spans="2:16" s="21" customFormat="1" x14ac:dyDescent="0.25">
      <c r="B1038" s="9"/>
      <c r="C1038" s="212"/>
      <c r="D1038" s="3"/>
      <c r="E1038" s="3"/>
      <c r="F1038" s="3"/>
      <c r="G1038" s="3"/>
      <c r="I1038" s="3"/>
      <c r="J1038" s="73"/>
      <c r="K1038" s="3"/>
      <c r="L1038" s="3"/>
      <c r="M1038" s="3"/>
      <c r="N1038" s="13"/>
      <c r="O1038" s="204"/>
      <c r="P1038" s="44"/>
    </row>
    <row r="1039" spans="2:16" x14ac:dyDescent="0.25">
      <c r="P1039" s="44"/>
    </row>
    <row r="1040" spans="2:16" s="73" customFormat="1" x14ac:dyDescent="0.25">
      <c r="B1040" s="9"/>
      <c r="C1040" s="212"/>
      <c r="D1040" s="3"/>
      <c r="E1040" s="3"/>
      <c r="F1040" s="3"/>
      <c r="G1040" s="3"/>
      <c r="H1040" s="21"/>
      <c r="I1040" s="3"/>
      <c r="K1040" s="3"/>
      <c r="L1040" s="3"/>
      <c r="M1040" s="3"/>
      <c r="N1040" s="13"/>
      <c r="O1040" s="204"/>
      <c r="P1040" s="77"/>
    </row>
    <row r="1041" spans="2:16" s="15" customFormat="1" x14ac:dyDescent="0.25">
      <c r="B1041" s="9"/>
      <c r="C1041" s="212"/>
      <c r="D1041" s="3"/>
      <c r="E1041" s="3"/>
      <c r="F1041" s="3"/>
      <c r="G1041" s="3"/>
      <c r="H1041" s="21"/>
      <c r="I1041" s="3"/>
      <c r="J1041" s="73"/>
      <c r="K1041" s="3"/>
      <c r="L1041" s="3"/>
      <c r="M1041" s="3"/>
      <c r="N1041" s="13"/>
      <c r="O1041" s="204"/>
      <c r="P1041" s="44"/>
    </row>
    <row r="1042" spans="2:16" s="21" customFormat="1" x14ac:dyDescent="0.25">
      <c r="B1042" s="9"/>
      <c r="C1042" s="212"/>
      <c r="D1042" s="3"/>
      <c r="E1042" s="3"/>
      <c r="F1042" s="3"/>
      <c r="G1042" s="3"/>
      <c r="I1042" s="3"/>
      <c r="J1042" s="73"/>
      <c r="K1042" s="3"/>
      <c r="L1042" s="3"/>
      <c r="M1042" s="3"/>
      <c r="N1042" s="13"/>
      <c r="O1042" s="204"/>
      <c r="P1042" s="42"/>
    </row>
    <row r="1043" spans="2:16" s="21" customFormat="1" x14ac:dyDescent="0.25">
      <c r="B1043" s="9"/>
      <c r="C1043" s="212"/>
      <c r="D1043" s="3"/>
      <c r="E1043" s="3"/>
      <c r="F1043" s="3"/>
      <c r="G1043" s="3"/>
      <c r="I1043" s="3"/>
      <c r="J1043" s="73"/>
      <c r="K1043" s="3"/>
      <c r="L1043" s="3"/>
      <c r="M1043" s="3"/>
      <c r="N1043" s="13"/>
      <c r="O1043" s="204"/>
      <c r="P1043" s="44"/>
    </row>
    <row r="1044" spans="2:16" s="15" customFormat="1" x14ac:dyDescent="0.25">
      <c r="B1044" s="9"/>
      <c r="C1044" s="212"/>
      <c r="D1044" s="3"/>
      <c r="E1044" s="3"/>
      <c r="F1044" s="3"/>
      <c r="G1044" s="3"/>
      <c r="H1044" s="21"/>
      <c r="I1044" s="3"/>
      <c r="J1044" s="73"/>
      <c r="K1044" s="3"/>
      <c r="L1044" s="3"/>
      <c r="M1044" s="3"/>
      <c r="N1044" s="13"/>
      <c r="O1044" s="204"/>
      <c r="P1044" s="44"/>
    </row>
    <row r="1045" spans="2:16" s="73" customFormat="1" x14ac:dyDescent="0.25">
      <c r="B1045" s="9"/>
      <c r="C1045" s="212"/>
      <c r="D1045" s="3"/>
      <c r="E1045" s="3"/>
      <c r="F1045" s="3"/>
      <c r="G1045" s="3"/>
      <c r="H1045" s="21"/>
      <c r="I1045" s="3"/>
      <c r="K1045" s="3"/>
      <c r="L1045" s="3"/>
      <c r="M1045" s="3"/>
      <c r="N1045" s="13"/>
      <c r="O1045" s="204"/>
      <c r="P1045" s="77"/>
    </row>
    <row r="1046" spans="2:16" s="73" customFormat="1" x14ac:dyDescent="0.25">
      <c r="B1046" s="9"/>
      <c r="C1046" s="212"/>
      <c r="D1046" s="3"/>
      <c r="E1046" s="3"/>
      <c r="F1046" s="3"/>
      <c r="G1046" s="3"/>
      <c r="H1046" s="21"/>
      <c r="I1046" s="3"/>
      <c r="K1046" s="3"/>
      <c r="L1046" s="3"/>
      <c r="M1046" s="3"/>
      <c r="N1046" s="13"/>
      <c r="O1046" s="204"/>
      <c r="P1046" s="77"/>
    </row>
    <row r="1047" spans="2:16" s="73" customFormat="1" x14ac:dyDescent="0.25">
      <c r="B1047" s="9"/>
      <c r="C1047" s="212"/>
      <c r="D1047" s="3"/>
      <c r="E1047" s="3"/>
      <c r="F1047" s="3"/>
      <c r="G1047" s="3"/>
      <c r="H1047" s="21"/>
      <c r="I1047" s="3"/>
      <c r="K1047" s="3"/>
      <c r="L1047" s="3"/>
      <c r="M1047" s="3"/>
      <c r="N1047" s="13"/>
      <c r="O1047" s="204"/>
      <c r="P1047" s="77"/>
    </row>
    <row r="1048" spans="2:16" s="73" customFormat="1" x14ac:dyDescent="0.25">
      <c r="B1048" s="9"/>
      <c r="C1048" s="212"/>
      <c r="D1048" s="3"/>
      <c r="E1048" s="3"/>
      <c r="F1048" s="3"/>
      <c r="G1048" s="3"/>
      <c r="H1048" s="21"/>
      <c r="I1048" s="3"/>
      <c r="K1048" s="3"/>
      <c r="L1048" s="3"/>
      <c r="M1048" s="3"/>
      <c r="N1048" s="13"/>
      <c r="O1048" s="204"/>
      <c r="P1048" s="77"/>
    </row>
    <row r="1049" spans="2:16" s="73" customFormat="1" x14ac:dyDescent="0.25">
      <c r="B1049" s="9"/>
      <c r="C1049" s="212"/>
      <c r="D1049" s="3"/>
      <c r="E1049" s="3"/>
      <c r="F1049" s="3"/>
      <c r="G1049" s="3"/>
      <c r="H1049" s="21"/>
      <c r="I1049" s="3"/>
      <c r="K1049" s="3"/>
      <c r="L1049" s="3"/>
      <c r="M1049" s="3"/>
      <c r="N1049" s="13"/>
      <c r="O1049" s="204"/>
      <c r="P1049" s="77"/>
    </row>
    <row r="1050" spans="2:16" s="21" customFormat="1" x14ac:dyDescent="0.25">
      <c r="B1050" s="9"/>
      <c r="C1050" s="212"/>
      <c r="D1050" s="3"/>
      <c r="E1050" s="3"/>
      <c r="F1050" s="3"/>
      <c r="G1050" s="3"/>
      <c r="I1050" s="3"/>
      <c r="J1050" s="73"/>
      <c r="K1050" s="3"/>
      <c r="L1050" s="3"/>
      <c r="M1050" s="3"/>
      <c r="N1050" s="13"/>
      <c r="O1050" s="204"/>
      <c r="P1050" s="50"/>
    </row>
    <row r="1051" spans="2:16" s="21" customFormat="1" x14ac:dyDescent="0.25">
      <c r="B1051" s="9"/>
      <c r="C1051" s="212"/>
      <c r="D1051" s="3"/>
      <c r="E1051" s="3"/>
      <c r="F1051" s="3"/>
      <c r="G1051" s="3"/>
      <c r="I1051" s="3"/>
      <c r="J1051" s="73"/>
      <c r="K1051" s="3"/>
      <c r="L1051" s="3"/>
      <c r="M1051" s="3"/>
      <c r="N1051" s="13"/>
      <c r="O1051" s="204"/>
      <c r="P1051" s="17"/>
    </row>
    <row r="1052" spans="2:16" s="73" customFormat="1" x14ac:dyDescent="0.25">
      <c r="B1052" s="9"/>
      <c r="C1052" s="212"/>
      <c r="D1052" s="3"/>
      <c r="E1052" s="3"/>
      <c r="F1052" s="3"/>
      <c r="G1052" s="3"/>
      <c r="H1052" s="21"/>
      <c r="I1052" s="3"/>
      <c r="K1052" s="3"/>
      <c r="L1052" s="3"/>
      <c r="M1052" s="3"/>
      <c r="N1052" s="13"/>
      <c r="O1052" s="204"/>
      <c r="P1052" s="17"/>
    </row>
    <row r="1053" spans="2:16" s="73" customFormat="1" x14ac:dyDescent="0.25">
      <c r="B1053" s="9"/>
      <c r="C1053" s="212"/>
      <c r="D1053" s="3"/>
      <c r="E1053" s="3"/>
      <c r="F1053" s="3"/>
      <c r="G1053" s="3"/>
      <c r="H1053" s="21"/>
      <c r="I1053" s="3"/>
      <c r="K1053" s="3"/>
      <c r="L1053" s="3"/>
      <c r="M1053" s="3"/>
      <c r="N1053" s="13"/>
      <c r="O1053" s="204"/>
      <c r="P1053" s="17"/>
    </row>
    <row r="1054" spans="2:16" s="73" customFormat="1" x14ac:dyDescent="0.25">
      <c r="B1054" s="9"/>
      <c r="C1054" s="212"/>
      <c r="D1054" s="3"/>
      <c r="E1054" s="3"/>
      <c r="F1054" s="3"/>
      <c r="G1054" s="3"/>
      <c r="H1054" s="21"/>
      <c r="I1054" s="3"/>
      <c r="K1054" s="3"/>
      <c r="L1054" s="3"/>
      <c r="M1054" s="3"/>
      <c r="N1054" s="13"/>
      <c r="O1054" s="204"/>
      <c r="P1054" s="17"/>
    </row>
    <row r="1055" spans="2:16" s="73" customFormat="1" x14ac:dyDescent="0.25">
      <c r="B1055" s="9"/>
      <c r="C1055" s="212"/>
      <c r="D1055" s="3"/>
      <c r="E1055" s="3"/>
      <c r="F1055" s="3"/>
      <c r="G1055" s="3"/>
      <c r="H1055" s="21"/>
      <c r="I1055" s="3"/>
      <c r="K1055" s="3"/>
      <c r="L1055" s="3"/>
      <c r="M1055" s="3"/>
      <c r="N1055" s="13"/>
      <c r="O1055" s="204"/>
      <c r="P1055" s="17"/>
    </row>
    <row r="1056" spans="2:16" x14ac:dyDescent="0.25">
      <c r="P1056" s="17"/>
    </row>
  </sheetData>
  <mergeCells count="21">
    <mergeCell ref="B4:O4"/>
    <mergeCell ref="D5:K5"/>
    <mergeCell ref="D6:K6"/>
    <mergeCell ref="B847:O847"/>
    <mergeCell ref="C848:G848"/>
    <mergeCell ref="H848:O848"/>
    <mergeCell ref="C855:G855"/>
    <mergeCell ref="H855:O855"/>
    <mergeCell ref="B856:O856"/>
    <mergeCell ref="C849:G849"/>
    <mergeCell ref="H849:O849"/>
    <mergeCell ref="C850:G850"/>
    <mergeCell ref="H850:O850"/>
    <mergeCell ref="C851:G851"/>
    <mergeCell ref="H851:O851"/>
    <mergeCell ref="C852:G852"/>
    <mergeCell ref="C854:G854"/>
    <mergeCell ref="C853:G853"/>
    <mergeCell ref="H852:O852"/>
    <mergeCell ref="H853:O853"/>
    <mergeCell ref="H854:O854"/>
  </mergeCells>
  <conditionalFormatting sqref="E14">
    <cfRule type="expression" dxfId="2" priority="1">
      <formula>"e13&gt;e$9"</formula>
    </cfRule>
    <cfRule type="cellIs" dxfId="1" priority="2" operator="greaterThan">
      <formula>"e9"</formula>
    </cfRule>
    <cfRule type="cellIs" dxfId="0" priority="3" operator="greaterThan">
      <formula>"e9"</formula>
    </cfRule>
  </conditionalFormatting>
  <printOptions horizontalCentered="1"/>
  <pageMargins left="0.39370078740157483" right="0.39370078740157483" top="0.39370078740157483" bottom="0.39370078740157483" header="0" footer="0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2023-10-20T06:40:31Z</dcterms:modified>
</cp:coreProperties>
</file>